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aga.ciuden.local\TRANSENERCyL_CIUDEN\92. JUSTIFICACIÓN\OTC-2024-001 ADMINISTRATIVA\Hito 1 Entregable 5\"/>
    </mc:Choice>
  </mc:AlternateContent>
  <xr:revisionPtr revIDLastSave="0" documentId="8_{8C7F9D4D-D357-4E31-9D38-950567853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generales" sheetId="1" r:id="rId1"/>
    <sheet name="Socios" sheetId="2" r:id="rId2"/>
    <sheet name="Reparto economico" sheetId="3" r:id="rId3"/>
    <sheet name="Informe comunidad" sheetId="4" r:id="rId4"/>
    <sheet name="Media socios" sheetId="5" r:id="rId5"/>
    <sheet name="Socio 1" sheetId="6" r:id="rId6"/>
    <sheet name="Socio 2" sheetId="7" r:id="rId7"/>
    <sheet name="Socio 3" sheetId="8" r:id="rId8"/>
    <sheet name="Socio 4" sheetId="9" r:id="rId9"/>
    <sheet name="Socio 5" sheetId="10" r:id="rId10"/>
    <sheet name="Socio 6" sheetId="11" r:id="rId11"/>
    <sheet name="Socio 7" sheetId="12" r:id="rId12"/>
    <sheet name="Socio 8" sheetId="13" r:id="rId13"/>
    <sheet name="Socio 9" sheetId="14" r:id="rId14"/>
    <sheet name="Socio 10" sheetId="15" r:id="rId15"/>
    <sheet name="Plantilla Socio (fijo)" sheetId="16" r:id="rId16"/>
    <sheet name="Plantilla Socio (3 periodos)" sheetId="17" r:id="rId17"/>
    <sheet name="Plantilla Socio (fijo) (MAS DAT" sheetId="18" r:id="rId18"/>
    <sheet name="Plantilla Socio (3 periodos) (M" sheetId="19" r:id="rId19"/>
  </sheets>
  <definedNames>
    <definedName name="_xlnm._FilterDatabase" localSheetId="2" hidden="1">'Reparto economico'!$A$2:$I$122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3" roundtripDataChecksum="8lJPPzW3wrQBATwHe7nmOFFR5OnfqtGy1lTLheZFVlU="/>
    </ext>
  </extLst>
</workbook>
</file>

<file path=xl/calcChain.xml><?xml version="1.0" encoding="utf-8"?>
<calcChain xmlns="http://schemas.openxmlformats.org/spreadsheetml/2006/main">
  <c r="Q17" i="19" l="1"/>
  <c r="P17" i="19"/>
  <c r="O17" i="19"/>
  <c r="Q16" i="19"/>
  <c r="P16" i="19"/>
  <c r="O16" i="19"/>
  <c r="P15" i="19"/>
  <c r="O15" i="19"/>
  <c r="Q15" i="19" s="1"/>
  <c r="Q14" i="19"/>
  <c r="P14" i="19"/>
  <c r="O14" i="19"/>
  <c r="P13" i="19"/>
  <c r="O13" i="19"/>
  <c r="Q13" i="19" s="1"/>
  <c r="P12" i="19"/>
  <c r="O12" i="19"/>
  <c r="Q12" i="19" s="1"/>
  <c r="Q11" i="19"/>
  <c r="P11" i="19"/>
  <c r="O11" i="19"/>
  <c r="P10" i="19"/>
  <c r="O10" i="19"/>
  <c r="Q10" i="19" s="1"/>
  <c r="P9" i="19"/>
  <c r="O9" i="19"/>
  <c r="Q9" i="19" s="1"/>
  <c r="R9" i="19" s="1"/>
  <c r="S9" i="19" s="1"/>
  <c r="N9" i="19"/>
  <c r="M9" i="19"/>
  <c r="L9" i="19"/>
  <c r="P8" i="19"/>
  <c r="N8" i="19"/>
  <c r="M8" i="19"/>
  <c r="O8" i="19" s="1"/>
  <c r="Q8" i="19" s="1"/>
  <c r="R8" i="19" s="1"/>
  <c r="S8" i="19" s="1"/>
  <c r="L8" i="19"/>
  <c r="P7" i="19"/>
  <c r="N7" i="19"/>
  <c r="M7" i="19"/>
  <c r="O7" i="19" s="1"/>
  <c r="Q7" i="19" s="1"/>
  <c r="R7" i="19" s="1"/>
  <c r="S7" i="19" s="1"/>
  <c r="L7" i="19"/>
  <c r="P6" i="19"/>
  <c r="O6" i="19"/>
  <c r="Q6" i="19" s="1"/>
  <c r="R6" i="19" s="1"/>
  <c r="S6" i="19" s="1"/>
  <c r="N6" i="19"/>
  <c r="M6" i="19"/>
  <c r="L6" i="19"/>
  <c r="H16" i="18"/>
  <c r="H14" i="18"/>
  <c r="H12" i="18"/>
  <c r="H10" i="18"/>
  <c r="H8" i="18"/>
  <c r="H6" i="18"/>
  <c r="E2" i="18"/>
  <c r="H15" i="18" s="1"/>
  <c r="P17" i="17"/>
  <c r="J17" i="17"/>
  <c r="K17" i="17" s="1"/>
  <c r="P16" i="17"/>
  <c r="J16" i="17"/>
  <c r="K16" i="17" s="1"/>
  <c r="P15" i="17"/>
  <c r="J15" i="17"/>
  <c r="K15" i="17" s="1"/>
  <c r="P14" i="17"/>
  <c r="J14" i="17"/>
  <c r="K14" i="17" s="1"/>
  <c r="P13" i="17"/>
  <c r="J13" i="17"/>
  <c r="K13" i="17" s="1"/>
  <c r="P12" i="17"/>
  <c r="J12" i="17"/>
  <c r="K12" i="17" s="1"/>
  <c r="P11" i="17"/>
  <c r="J11" i="17"/>
  <c r="K11" i="17" s="1"/>
  <c r="P10" i="17"/>
  <c r="J10" i="17"/>
  <c r="K10" i="17" s="1"/>
  <c r="P9" i="17"/>
  <c r="J9" i="17"/>
  <c r="K9" i="17" s="1"/>
  <c r="P8" i="17"/>
  <c r="J8" i="17"/>
  <c r="K8" i="17" s="1"/>
  <c r="P7" i="17"/>
  <c r="J7" i="17"/>
  <c r="K7" i="17" s="1"/>
  <c r="P6" i="17"/>
  <c r="J6" i="17"/>
  <c r="K6" i="17" s="1"/>
  <c r="G16" i="16"/>
  <c r="H16" i="16" s="1"/>
  <c r="F16" i="16"/>
  <c r="F15" i="16"/>
  <c r="G15" i="16" s="1"/>
  <c r="H15" i="16" s="1"/>
  <c r="F14" i="16"/>
  <c r="G14" i="16" s="1"/>
  <c r="H14" i="16" s="1"/>
  <c r="F13" i="16"/>
  <c r="G13" i="16" s="1"/>
  <c r="H13" i="16" s="1"/>
  <c r="F12" i="16"/>
  <c r="G12" i="16" s="1"/>
  <c r="H12" i="16" s="1"/>
  <c r="H11" i="16"/>
  <c r="G11" i="16"/>
  <c r="F11" i="16"/>
  <c r="F10" i="16"/>
  <c r="G10" i="16" s="1"/>
  <c r="H10" i="16" s="1"/>
  <c r="F9" i="16"/>
  <c r="G9" i="16" s="1"/>
  <c r="H9" i="16" s="1"/>
  <c r="G8" i="16"/>
  <c r="H8" i="16" s="1"/>
  <c r="F8" i="16"/>
  <c r="G7" i="16"/>
  <c r="H7" i="16" s="1"/>
  <c r="F7" i="16"/>
  <c r="H6" i="16"/>
  <c r="G6" i="16"/>
  <c r="F6" i="16"/>
  <c r="G5" i="16"/>
  <c r="H5" i="16" s="1"/>
  <c r="I5" i="16" s="1"/>
  <c r="F5" i="16"/>
  <c r="E19" i="15"/>
  <c r="D19" i="15"/>
  <c r="C19" i="15"/>
  <c r="B19" i="15"/>
  <c r="P18" i="15"/>
  <c r="P17" i="15"/>
  <c r="P16" i="15"/>
  <c r="J16" i="15"/>
  <c r="K16" i="15" s="1"/>
  <c r="P15" i="15"/>
  <c r="P14" i="15"/>
  <c r="J14" i="15"/>
  <c r="K14" i="15" s="1"/>
  <c r="P13" i="15"/>
  <c r="P12" i="15"/>
  <c r="P11" i="15"/>
  <c r="P19" i="15" s="1"/>
  <c r="P10" i="15"/>
  <c r="J10" i="15"/>
  <c r="K10" i="15" s="1"/>
  <c r="P9" i="15"/>
  <c r="P8" i="15"/>
  <c r="J8" i="15"/>
  <c r="K8" i="15" s="1"/>
  <c r="P7" i="15"/>
  <c r="C2" i="15"/>
  <c r="J18" i="15" s="1"/>
  <c r="K18" i="15" s="1"/>
  <c r="B2" i="15"/>
  <c r="A2" i="15"/>
  <c r="E19" i="14"/>
  <c r="D19" i="14"/>
  <c r="C19" i="14"/>
  <c r="B19" i="14"/>
  <c r="P18" i="14"/>
  <c r="N18" i="14"/>
  <c r="M18" i="14"/>
  <c r="K18" i="14"/>
  <c r="L18" i="14" s="1"/>
  <c r="O18" i="14" s="1"/>
  <c r="J18" i="14"/>
  <c r="P17" i="14"/>
  <c r="K17" i="14"/>
  <c r="N17" i="14" s="1"/>
  <c r="J17" i="14"/>
  <c r="P16" i="14"/>
  <c r="J16" i="14"/>
  <c r="K16" i="14" s="1"/>
  <c r="P15" i="14"/>
  <c r="J15" i="14"/>
  <c r="K15" i="14" s="1"/>
  <c r="P14" i="14"/>
  <c r="J14" i="14"/>
  <c r="K14" i="14" s="1"/>
  <c r="P13" i="14"/>
  <c r="K13" i="14"/>
  <c r="N13" i="14" s="1"/>
  <c r="J13" i="14"/>
  <c r="P12" i="14"/>
  <c r="N12" i="14"/>
  <c r="M12" i="14"/>
  <c r="K12" i="14"/>
  <c r="L12" i="14" s="1"/>
  <c r="O12" i="14" s="1"/>
  <c r="J12" i="14"/>
  <c r="P11" i="14"/>
  <c r="P19" i="14" s="1"/>
  <c r="K11" i="14"/>
  <c r="N11" i="14" s="1"/>
  <c r="J11" i="14"/>
  <c r="P10" i="14"/>
  <c r="J10" i="14"/>
  <c r="K10" i="14" s="1"/>
  <c r="P9" i="14"/>
  <c r="J9" i="14"/>
  <c r="K9" i="14" s="1"/>
  <c r="P8" i="14"/>
  <c r="J8" i="14"/>
  <c r="J19" i="14" s="1"/>
  <c r="P7" i="14"/>
  <c r="K7" i="14"/>
  <c r="N7" i="14" s="1"/>
  <c r="J7" i="14"/>
  <c r="C2" i="14"/>
  <c r="B2" i="14"/>
  <c r="A2" i="14"/>
  <c r="C18" i="13"/>
  <c r="G17" i="13"/>
  <c r="F17" i="13"/>
  <c r="G16" i="13"/>
  <c r="F16" i="13"/>
  <c r="G14" i="13"/>
  <c r="F14" i="13"/>
  <c r="G13" i="13"/>
  <c r="F13" i="13"/>
  <c r="F12" i="13"/>
  <c r="G12" i="13" s="1"/>
  <c r="F11" i="13"/>
  <c r="G11" i="13" s="1"/>
  <c r="F10" i="13"/>
  <c r="G10" i="13" s="1"/>
  <c r="F9" i="13"/>
  <c r="G9" i="13" s="1"/>
  <c r="F8" i="13"/>
  <c r="G8" i="13" s="1"/>
  <c r="F7" i="13"/>
  <c r="G7" i="13" s="1"/>
  <c r="G6" i="13"/>
  <c r="F6" i="13"/>
  <c r="C2" i="13"/>
  <c r="F15" i="13" s="1"/>
  <c r="G15" i="13" s="1"/>
  <c r="B2" i="13"/>
  <c r="B18" i="13" s="1"/>
  <c r="A2" i="13"/>
  <c r="E19" i="12"/>
  <c r="D19" i="12"/>
  <c r="C19" i="12"/>
  <c r="B19" i="12"/>
  <c r="P18" i="12"/>
  <c r="P17" i="12"/>
  <c r="P16" i="12"/>
  <c r="P15" i="12"/>
  <c r="J15" i="12"/>
  <c r="K15" i="12" s="1"/>
  <c r="P14" i="12"/>
  <c r="J14" i="12"/>
  <c r="K14" i="12" s="1"/>
  <c r="P13" i="12"/>
  <c r="J13" i="12"/>
  <c r="K13" i="12" s="1"/>
  <c r="P12" i="12"/>
  <c r="P11" i="12"/>
  <c r="P10" i="12"/>
  <c r="P19" i="12" s="1"/>
  <c r="P9" i="12"/>
  <c r="J9" i="12"/>
  <c r="K9" i="12" s="1"/>
  <c r="P8" i="12"/>
  <c r="J8" i="12"/>
  <c r="K8" i="12" s="1"/>
  <c r="P7" i="12"/>
  <c r="J7" i="12"/>
  <c r="C2" i="12"/>
  <c r="J17" i="12" s="1"/>
  <c r="K17" i="12" s="1"/>
  <c r="B2" i="12"/>
  <c r="A2" i="12"/>
  <c r="C18" i="11"/>
  <c r="B18" i="11"/>
  <c r="G13" i="11"/>
  <c r="F13" i="11"/>
  <c r="F11" i="11"/>
  <c r="G11" i="11" s="1"/>
  <c r="F10" i="11"/>
  <c r="G10" i="11" s="1"/>
  <c r="F9" i="11"/>
  <c r="G9" i="11" s="1"/>
  <c r="F8" i="11"/>
  <c r="G8" i="11" s="1"/>
  <c r="F7" i="11"/>
  <c r="G7" i="11" s="1"/>
  <c r="F6" i="11"/>
  <c r="C2" i="11"/>
  <c r="F14" i="11" s="1"/>
  <c r="G14" i="11" s="1"/>
  <c r="B2" i="11"/>
  <c r="A2" i="11"/>
  <c r="C18" i="10"/>
  <c r="B18" i="10"/>
  <c r="G13" i="10"/>
  <c r="F13" i="10"/>
  <c r="F11" i="10"/>
  <c r="G11" i="10" s="1"/>
  <c r="F10" i="10"/>
  <c r="G10" i="10" s="1"/>
  <c r="F9" i="10"/>
  <c r="G9" i="10" s="1"/>
  <c r="G8" i="10"/>
  <c r="F8" i="10"/>
  <c r="F7" i="10"/>
  <c r="G7" i="10" s="1"/>
  <c r="F6" i="10"/>
  <c r="C2" i="10"/>
  <c r="F14" i="10" s="1"/>
  <c r="G14" i="10" s="1"/>
  <c r="B2" i="10"/>
  <c r="A2" i="10"/>
  <c r="E19" i="9"/>
  <c r="D19" i="9"/>
  <c r="C19" i="9"/>
  <c r="B19" i="9"/>
  <c r="P18" i="9"/>
  <c r="P17" i="9"/>
  <c r="N17" i="9"/>
  <c r="M17" i="9"/>
  <c r="L17" i="9"/>
  <c r="O17" i="9" s="1"/>
  <c r="K17" i="9"/>
  <c r="J17" i="9"/>
  <c r="P16" i="9"/>
  <c r="K16" i="9"/>
  <c r="N16" i="9" s="1"/>
  <c r="J16" i="9"/>
  <c r="P15" i="9"/>
  <c r="J15" i="9"/>
  <c r="K15" i="9" s="1"/>
  <c r="P14" i="9"/>
  <c r="J14" i="9"/>
  <c r="K14" i="9" s="1"/>
  <c r="P13" i="9"/>
  <c r="J13" i="9"/>
  <c r="K13" i="9" s="1"/>
  <c r="P12" i="9"/>
  <c r="K12" i="9"/>
  <c r="N12" i="9" s="1"/>
  <c r="J12" i="9"/>
  <c r="P11" i="9"/>
  <c r="N11" i="9"/>
  <c r="M11" i="9"/>
  <c r="L11" i="9"/>
  <c r="O11" i="9" s="1"/>
  <c r="K11" i="9"/>
  <c r="J11" i="9"/>
  <c r="P10" i="9"/>
  <c r="P19" i="9" s="1"/>
  <c r="K10" i="9"/>
  <c r="N10" i="9" s="1"/>
  <c r="J10" i="9"/>
  <c r="P9" i="9"/>
  <c r="J9" i="9"/>
  <c r="K9" i="9" s="1"/>
  <c r="P8" i="9"/>
  <c r="J8" i="9"/>
  <c r="K8" i="9" s="1"/>
  <c r="P7" i="9"/>
  <c r="J7" i="9"/>
  <c r="C2" i="9"/>
  <c r="J18" i="9" s="1"/>
  <c r="K18" i="9" s="1"/>
  <c r="B2" i="9"/>
  <c r="A2" i="9"/>
  <c r="B18" i="8"/>
  <c r="F17" i="8"/>
  <c r="G17" i="8" s="1"/>
  <c r="G16" i="8"/>
  <c r="F16" i="8"/>
  <c r="G14" i="8"/>
  <c r="F14" i="8"/>
  <c r="G12" i="8"/>
  <c r="F12" i="8"/>
  <c r="F10" i="8"/>
  <c r="G10" i="8" s="1"/>
  <c r="F9" i="8"/>
  <c r="G9" i="8" s="1"/>
  <c r="F8" i="8"/>
  <c r="G8" i="8" s="1"/>
  <c r="G7" i="8"/>
  <c r="F7" i="8"/>
  <c r="F6" i="8"/>
  <c r="C2" i="8"/>
  <c r="F13" i="8" s="1"/>
  <c r="G13" i="8" s="1"/>
  <c r="B2" i="8"/>
  <c r="A2" i="8"/>
  <c r="E19" i="7"/>
  <c r="D19" i="7"/>
  <c r="C19" i="7"/>
  <c r="B19" i="7"/>
  <c r="P18" i="7"/>
  <c r="P17" i="7"/>
  <c r="P16" i="7"/>
  <c r="P15" i="7"/>
  <c r="P14" i="7"/>
  <c r="P13" i="7"/>
  <c r="P12" i="7"/>
  <c r="P11" i="7"/>
  <c r="P10" i="7"/>
  <c r="L10" i="7"/>
  <c r="J10" i="7"/>
  <c r="K10" i="7" s="1"/>
  <c r="P9" i="7"/>
  <c r="J9" i="7"/>
  <c r="K9" i="7" s="1"/>
  <c r="P8" i="7"/>
  <c r="P7" i="7"/>
  <c r="C2" i="7"/>
  <c r="B2" i="7"/>
  <c r="A2" i="7"/>
  <c r="G12" i="6"/>
  <c r="F12" i="6"/>
  <c r="C2" i="6"/>
  <c r="F11" i="6" s="1"/>
  <c r="G11" i="6" s="1"/>
  <c r="B2" i="6"/>
  <c r="B18" i="6" s="1"/>
  <c r="A2" i="6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" i="5"/>
  <c r="C15" i="5" s="1"/>
  <c r="B3" i="5"/>
  <c r="B15" i="5" s="1"/>
  <c r="C11" i="4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L15" i="3"/>
  <c r="C14" i="4" s="1"/>
  <c r="C20" i="4" s="1"/>
  <c r="H15" i="3"/>
  <c r="H14" i="3"/>
  <c r="H13" i="3"/>
  <c r="H12" i="3"/>
  <c r="H11" i="3"/>
  <c r="H10" i="3"/>
  <c r="H9" i="3"/>
  <c r="H8" i="3"/>
  <c r="R3" i="3" s="1"/>
  <c r="H7" i="3"/>
  <c r="H6" i="3"/>
  <c r="H5" i="3"/>
  <c r="H4" i="3"/>
  <c r="Q3" i="3"/>
  <c r="H3" i="3"/>
  <c r="C12" i="2"/>
  <c r="F11" i="2"/>
  <c r="F10" i="2"/>
  <c r="F9" i="2"/>
  <c r="F8" i="2"/>
  <c r="F7" i="2"/>
  <c r="F6" i="2"/>
  <c r="F5" i="2"/>
  <c r="F4" i="2"/>
  <c r="F3" i="2"/>
  <c r="F2" i="2"/>
  <c r="I3" i="1"/>
  <c r="B3" i="1" s="1"/>
  <c r="E3" i="1"/>
  <c r="B2" i="1" s="1"/>
  <c r="D2" i="2" l="1"/>
  <c r="D2" i="6" s="1"/>
  <c r="D11" i="2"/>
  <c r="D2" i="15" s="1"/>
  <c r="D7" i="2"/>
  <c r="D2" i="11" s="1"/>
  <c r="D3" i="2"/>
  <c r="D2" i="7" s="1"/>
  <c r="D6" i="2"/>
  <c r="D2" i="10" s="1"/>
  <c r="D9" i="2"/>
  <c r="D2" i="13" s="1"/>
  <c r="D5" i="2"/>
  <c r="D2" i="9" s="1"/>
  <c r="D8" i="2"/>
  <c r="D2" i="12" s="1"/>
  <c r="D4" i="2"/>
  <c r="D2" i="8" s="1"/>
  <c r="D10" i="2"/>
  <c r="D2" i="14" s="1"/>
  <c r="E7" i="2"/>
  <c r="E2" i="2"/>
  <c r="E6" i="2"/>
  <c r="E9" i="2"/>
  <c r="E5" i="2"/>
  <c r="E4" i="2"/>
  <c r="E8" i="2"/>
  <c r="E10" i="2"/>
  <c r="E11" i="2"/>
  <c r="E3" i="2"/>
  <c r="F13" i="6"/>
  <c r="G13" i="6" s="1"/>
  <c r="N9" i="14"/>
  <c r="M9" i="14"/>
  <c r="L9" i="14"/>
  <c r="N18" i="9"/>
  <c r="M18" i="9"/>
  <c r="L18" i="9"/>
  <c r="N8" i="15"/>
  <c r="M8" i="15"/>
  <c r="L8" i="15"/>
  <c r="J19" i="9"/>
  <c r="N9" i="12"/>
  <c r="M9" i="12"/>
  <c r="L9" i="12"/>
  <c r="M10" i="14"/>
  <c r="L10" i="14"/>
  <c r="N10" i="14"/>
  <c r="N11" i="17"/>
  <c r="M11" i="17"/>
  <c r="L11" i="17"/>
  <c r="O11" i="17" s="1"/>
  <c r="Q11" i="17" s="1"/>
  <c r="N17" i="17"/>
  <c r="M17" i="17"/>
  <c r="L17" i="17"/>
  <c r="F10" i="6"/>
  <c r="G10" i="6" s="1"/>
  <c r="N14" i="14"/>
  <c r="M14" i="14"/>
  <c r="L14" i="14"/>
  <c r="O14" i="14" s="1"/>
  <c r="F7" i="6"/>
  <c r="G7" i="6" s="1"/>
  <c r="J16" i="7"/>
  <c r="K16" i="7" s="1"/>
  <c r="J17" i="7"/>
  <c r="K17" i="7" s="1"/>
  <c r="J11" i="7"/>
  <c r="K11" i="7" s="1"/>
  <c r="J18" i="7"/>
  <c r="K18" i="7" s="1"/>
  <c r="J12" i="7"/>
  <c r="K12" i="7" s="1"/>
  <c r="J13" i="7"/>
  <c r="K13" i="7" s="1"/>
  <c r="J7" i="7"/>
  <c r="J14" i="7"/>
  <c r="K14" i="7" s="1"/>
  <c r="J8" i="7"/>
  <c r="K8" i="7" s="1"/>
  <c r="J15" i="7"/>
  <c r="K15" i="7" s="1"/>
  <c r="N8" i="9"/>
  <c r="M8" i="9"/>
  <c r="L8" i="9"/>
  <c r="N10" i="15"/>
  <c r="M10" i="15"/>
  <c r="L10" i="15"/>
  <c r="N6" i="17"/>
  <c r="M6" i="17"/>
  <c r="L6" i="17"/>
  <c r="O6" i="17" s="1"/>
  <c r="Q6" i="17" s="1"/>
  <c r="R6" i="17" s="1"/>
  <c r="S6" i="17" s="1"/>
  <c r="N12" i="17"/>
  <c r="M12" i="17"/>
  <c r="L12" i="17"/>
  <c r="F15" i="6"/>
  <c r="G15" i="6" s="1"/>
  <c r="P19" i="7"/>
  <c r="N15" i="14"/>
  <c r="M15" i="14"/>
  <c r="L15" i="14"/>
  <c r="R10" i="19"/>
  <c r="S10" i="19" s="1"/>
  <c r="M9" i="9"/>
  <c r="L9" i="9"/>
  <c r="N9" i="9"/>
  <c r="L7" i="17"/>
  <c r="N7" i="17"/>
  <c r="M7" i="17"/>
  <c r="L13" i="17"/>
  <c r="N13" i="17"/>
  <c r="M13" i="17"/>
  <c r="N13" i="12"/>
  <c r="M13" i="12"/>
  <c r="L13" i="12"/>
  <c r="M16" i="14"/>
  <c r="L16" i="14"/>
  <c r="N16" i="14"/>
  <c r="N13" i="9"/>
  <c r="M13" i="9"/>
  <c r="L13" i="9"/>
  <c r="O13" i="9" s="1"/>
  <c r="N8" i="17"/>
  <c r="M8" i="17"/>
  <c r="L8" i="17"/>
  <c r="O8" i="17" s="1"/>
  <c r="Q8" i="17" s="1"/>
  <c r="N14" i="17"/>
  <c r="M14" i="17"/>
  <c r="L14" i="17"/>
  <c r="N9" i="7"/>
  <c r="M9" i="7"/>
  <c r="L9" i="7"/>
  <c r="N17" i="12"/>
  <c r="M17" i="12"/>
  <c r="L17" i="12"/>
  <c r="O17" i="12" s="1"/>
  <c r="N14" i="12"/>
  <c r="M14" i="12"/>
  <c r="L14" i="12"/>
  <c r="O14" i="12" s="1"/>
  <c r="N14" i="15"/>
  <c r="M14" i="15"/>
  <c r="L14" i="15"/>
  <c r="I6" i="16"/>
  <c r="J6" i="16" s="1"/>
  <c r="J5" i="16"/>
  <c r="N14" i="9"/>
  <c r="M14" i="9"/>
  <c r="L14" i="9"/>
  <c r="O14" i="9" s="1"/>
  <c r="N9" i="17"/>
  <c r="M9" i="17"/>
  <c r="L9" i="17"/>
  <c r="O9" i="17" s="1"/>
  <c r="Q9" i="17" s="1"/>
  <c r="N15" i="17"/>
  <c r="M15" i="17"/>
  <c r="L15" i="17"/>
  <c r="N10" i="7"/>
  <c r="M10" i="7"/>
  <c r="N15" i="12"/>
  <c r="M15" i="12"/>
  <c r="L15" i="12"/>
  <c r="O15" i="12" s="1"/>
  <c r="N18" i="15"/>
  <c r="M18" i="15"/>
  <c r="L18" i="15"/>
  <c r="F14" i="6"/>
  <c r="G14" i="6" s="1"/>
  <c r="F9" i="6"/>
  <c r="G9" i="6" s="1"/>
  <c r="F16" i="6"/>
  <c r="G16" i="6" s="1"/>
  <c r="C18" i="6"/>
  <c r="F6" i="6"/>
  <c r="F8" i="6"/>
  <c r="G8" i="6" s="1"/>
  <c r="F17" i="6"/>
  <c r="G17" i="6" s="1"/>
  <c r="O10" i="7"/>
  <c r="M15" i="9"/>
  <c r="L15" i="9"/>
  <c r="N15" i="9"/>
  <c r="N8" i="12"/>
  <c r="M8" i="12"/>
  <c r="L8" i="12"/>
  <c r="G18" i="13"/>
  <c r="N16" i="15"/>
  <c r="M16" i="15"/>
  <c r="L16" i="15"/>
  <c r="N10" i="17"/>
  <c r="M10" i="17"/>
  <c r="L10" i="17"/>
  <c r="N16" i="17"/>
  <c r="M16" i="17"/>
  <c r="L16" i="17"/>
  <c r="H5" i="18"/>
  <c r="I5" i="18" s="1"/>
  <c r="J5" i="18" s="1"/>
  <c r="H9" i="18"/>
  <c r="H13" i="18"/>
  <c r="G6" i="8"/>
  <c r="F11" i="8"/>
  <c r="G11" i="8" s="1"/>
  <c r="C18" i="8"/>
  <c r="K7" i="9"/>
  <c r="F12" i="10"/>
  <c r="G12" i="10" s="1"/>
  <c r="F12" i="11"/>
  <c r="G12" i="11" s="1"/>
  <c r="J10" i="12"/>
  <c r="K10" i="12" s="1"/>
  <c r="J16" i="12"/>
  <c r="K16" i="12" s="1"/>
  <c r="K8" i="14"/>
  <c r="J11" i="15"/>
  <c r="K11" i="15" s="1"/>
  <c r="J17" i="15"/>
  <c r="K17" i="15" s="1"/>
  <c r="F17" i="10"/>
  <c r="G17" i="10" s="1"/>
  <c r="F17" i="11"/>
  <c r="G17" i="11" s="1"/>
  <c r="L12" i="9"/>
  <c r="F15" i="10"/>
  <c r="G15" i="10" s="1"/>
  <c r="F15" i="11"/>
  <c r="G15" i="11" s="1"/>
  <c r="F18" i="13"/>
  <c r="L7" i="14"/>
  <c r="L13" i="14"/>
  <c r="M12" i="9"/>
  <c r="M7" i="14"/>
  <c r="M13" i="14"/>
  <c r="J9" i="15"/>
  <c r="K9" i="15" s="1"/>
  <c r="J15" i="15"/>
  <c r="K15" i="15" s="1"/>
  <c r="H7" i="18"/>
  <c r="H11" i="18"/>
  <c r="L10" i="9"/>
  <c r="L16" i="9"/>
  <c r="G6" i="10"/>
  <c r="G6" i="11"/>
  <c r="K7" i="12"/>
  <c r="L11" i="14"/>
  <c r="O11" i="14" s="1"/>
  <c r="L17" i="14"/>
  <c r="O17" i="14" s="1"/>
  <c r="F15" i="8"/>
  <c r="G15" i="8" s="1"/>
  <c r="M10" i="9"/>
  <c r="M16" i="9"/>
  <c r="F16" i="10"/>
  <c r="G16" i="10" s="1"/>
  <c r="F16" i="11"/>
  <c r="G16" i="11" s="1"/>
  <c r="J12" i="12"/>
  <c r="K12" i="12" s="1"/>
  <c r="J18" i="12"/>
  <c r="K18" i="12" s="1"/>
  <c r="M11" i="14"/>
  <c r="M17" i="14"/>
  <c r="J7" i="15"/>
  <c r="J13" i="15"/>
  <c r="K13" i="15" s="1"/>
  <c r="J11" i="12"/>
  <c r="K11" i="12" s="1"/>
  <c r="J12" i="15"/>
  <c r="K12" i="15" s="1"/>
  <c r="N11" i="12" l="1"/>
  <c r="M11" i="12"/>
  <c r="L11" i="12"/>
  <c r="O11" i="12" s="1"/>
  <c r="O13" i="14"/>
  <c r="Q13" i="14" s="1"/>
  <c r="F18" i="11"/>
  <c r="H12" i="11"/>
  <c r="L12" i="12"/>
  <c r="N12" i="12"/>
  <c r="M12" i="12"/>
  <c r="O10" i="9"/>
  <c r="Q10" i="9" s="1"/>
  <c r="K19" i="9"/>
  <c r="N7" i="9"/>
  <c r="N19" i="9" s="1"/>
  <c r="M7" i="9"/>
  <c r="M19" i="9" s="1"/>
  <c r="L7" i="9"/>
  <c r="O10" i="17"/>
  <c r="Q10" i="17" s="1"/>
  <c r="H9" i="6"/>
  <c r="D6" i="5"/>
  <c r="J19" i="12"/>
  <c r="O10" i="15"/>
  <c r="J19" i="7"/>
  <c r="K7" i="7"/>
  <c r="K19" i="14"/>
  <c r="N8" i="14"/>
  <c r="N19" i="14" s="1"/>
  <c r="M8" i="14"/>
  <c r="M19" i="14" s="1"/>
  <c r="L8" i="14"/>
  <c r="Q15" i="12"/>
  <c r="L13" i="15"/>
  <c r="O13" i="15" s="1"/>
  <c r="Q13" i="15" s="1"/>
  <c r="N13" i="15"/>
  <c r="M13" i="15"/>
  <c r="Q13" i="9"/>
  <c r="D7" i="5"/>
  <c r="E2" i="7"/>
  <c r="Q10" i="7" s="1"/>
  <c r="C26" i="3"/>
  <c r="C20" i="3"/>
  <c r="C21" i="3"/>
  <c r="C25" i="3"/>
  <c r="C19" i="3"/>
  <c r="C24" i="3"/>
  <c r="C18" i="3"/>
  <c r="C15" i="3"/>
  <c r="C23" i="3"/>
  <c r="C17" i="3"/>
  <c r="C22" i="3"/>
  <c r="C16" i="3"/>
  <c r="N17" i="15"/>
  <c r="M17" i="15"/>
  <c r="L17" i="15"/>
  <c r="O17" i="15" s="1"/>
  <c r="Q17" i="15" s="1"/>
  <c r="Q17" i="14"/>
  <c r="N11" i="15"/>
  <c r="M11" i="15"/>
  <c r="L11" i="15"/>
  <c r="D14" i="5"/>
  <c r="D10" i="5"/>
  <c r="Q14" i="9"/>
  <c r="M12" i="7"/>
  <c r="L12" i="7"/>
  <c r="N12" i="7"/>
  <c r="N15" i="15"/>
  <c r="M15" i="15"/>
  <c r="L15" i="15"/>
  <c r="G18" i="8"/>
  <c r="O15" i="9"/>
  <c r="O18" i="15"/>
  <c r="O15" i="17"/>
  <c r="Q15" i="17" s="1"/>
  <c r="O9" i="9"/>
  <c r="N18" i="7"/>
  <c r="M18" i="7"/>
  <c r="L18" i="7"/>
  <c r="O18" i="7" s="1"/>
  <c r="Q18" i="7" s="1"/>
  <c r="O17" i="17"/>
  <c r="Q17" i="17" s="1"/>
  <c r="O9" i="12"/>
  <c r="E2" i="15"/>
  <c r="C121" i="3"/>
  <c r="C117" i="3"/>
  <c r="C118" i="3"/>
  <c r="C114" i="3"/>
  <c r="C116" i="3"/>
  <c r="C113" i="3"/>
  <c r="C112" i="3"/>
  <c r="C111" i="3"/>
  <c r="C115" i="3"/>
  <c r="C122" i="3"/>
  <c r="C120" i="3"/>
  <c r="C119" i="3"/>
  <c r="H16" i="11"/>
  <c r="D11" i="5"/>
  <c r="N13" i="7"/>
  <c r="M13" i="7"/>
  <c r="L13" i="7"/>
  <c r="O13" i="7" s="1"/>
  <c r="Q13" i="7" s="1"/>
  <c r="I7" i="18"/>
  <c r="O12" i="9"/>
  <c r="Q12" i="9" s="1"/>
  <c r="D9" i="5"/>
  <c r="F18" i="10"/>
  <c r="D12" i="5"/>
  <c r="N9" i="15"/>
  <c r="M9" i="15"/>
  <c r="L9" i="15"/>
  <c r="H17" i="10"/>
  <c r="O16" i="15"/>
  <c r="Q16" i="15" s="1"/>
  <c r="O14" i="17"/>
  <c r="Q14" i="17" s="1"/>
  <c r="M11" i="7"/>
  <c r="N11" i="7"/>
  <c r="L11" i="7"/>
  <c r="O11" i="7" s="1"/>
  <c r="Q11" i="7" s="1"/>
  <c r="C109" i="3"/>
  <c r="C105" i="3"/>
  <c r="E2" i="14"/>
  <c r="Q11" i="14" s="1"/>
  <c r="C104" i="3"/>
  <c r="C101" i="3"/>
  <c r="C103" i="3"/>
  <c r="C102" i="3"/>
  <c r="C99" i="3"/>
  <c r="C110" i="3"/>
  <c r="C108" i="3"/>
  <c r="C107" i="3"/>
  <c r="C106" i="3"/>
  <c r="C100" i="3"/>
  <c r="O12" i="17"/>
  <c r="Q12" i="17" s="1"/>
  <c r="O8" i="9"/>
  <c r="Q8" i="9" s="1"/>
  <c r="L17" i="7"/>
  <c r="N17" i="7"/>
  <c r="M17" i="7"/>
  <c r="O18" i="9"/>
  <c r="Q18" i="9" s="1"/>
  <c r="C85" i="3"/>
  <c r="E2" i="12"/>
  <c r="Q17" i="12" s="1"/>
  <c r="C77" i="3"/>
  <c r="C86" i="3"/>
  <c r="C84" i="3"/>
  <c r="C83" i="3"/>
  <c r="C82" i="3"/>
  <c r="C81" i="3"/>
  <c r="C76" i="3"/>
  <c r="C75" i="3"/>
  <c r="C80" i="3"/>
  <c r="C79" i="3"/>
  <c r="C78" i="3"/>
  <c r="N12" i="15"/>
  <c r="M12" i="15"/>
  <c r="L12" i="15"/>
  <c r="O12" i="15" s="1"/>
  <c r="Q12" i="15" s="1"/>
  <c r="E2" i="8"/>
  <c r="C27" i="3"/>
  <c r="C38" i="3"/>
  <c r="C32" i="3"/>
  <c r="C33" i="3"/>
  <c r="C37" i="3"/>
  <c r="C31" i="3"/>
  <c r="C36" i="3"/>
  <c r="C30" i="3"/>
  <c r="C35" i="3"/>
  <c r="C29" i="3"/>
  <c r="C34" i="3"/>
  <c r="C28" i="3"/>
  <c r="H15" i="8"/>
  <c r="R11" i="19"/>
  <c r="N16" i="7"/>
  <c r="M16" i="7"/>
  <c r="L16" i="7"/>
  <c r="R8" i="17"/>
  <c r="S8" i="17" s="1"/>
  <c r="O13" i="17"/>
  <c r="Q13" i="17" s="1"/>
  <c r="I6" i="18"/>
  <c r="J6" i="18" s="1"/>
  <c r="K7" i="15"/>
  <c r="J19" i="15"/>
  <c r="N7" i="12"/>
  <c r="M7" i="12"/>
  <c r="L7" i="12"/>
  <c r="K19" i="12"/>
  <c r="C97" i="3"/>
  <c r="E2" i="13"/>
  <c r="C90" i="3"/>
  <c r="C87" i="3"/>
  <c r="C98" i="3"/>
  <c r="C96" i="3"/>
  <c r="C95" i="3"/>
  <c r="C94" i="3"/>
  <c r="C88" i="3"/>
  <c r="C93" i="3"/>
  <c r="C92" i="3"/>
  <c r="C91" i="3"/>
  <c r="C89" i="3"/>
  <c r="L19" i="14"/>
  <c r="O7" i="14"/>
  <c r="N10" i="12"/>
  <c r="M10" i="12"/>
  <c r="L10" i="12"/>
  <c r="O10" i="12" s="1"/>
  <c r="Q10" i="12" s="1"/>
  <c r="O16" i="17"/>
  <c r="Q16" i="17" s="1"/>
  <c r="O8" i="12"/>
  <c r="F18" i="6"/>
  <c r="G6" i="6"/>
  <c r="O16" i="14"/>
  <c r="Q16" i="14" s="1"/>
  <c r="O15" i="14"/>
  <c r="Q15" i="14" s="1"/>
  <c r="N15" i="7"/>
  <c r="M15" i="7"/>
  <c r="L15" i="7"/>
  <c r="I7" i="16"/>
  <c r="O8" i="15"/>
  <c r="Q8" i="15" s="1"/>
  <c r="O9" i="14"/>
  <c r="Q9" i="14" s="1"/>
  <c r="E2" i="10"/>
  <c r="C61" i="3"/>
  <c r="C52" i="3"/>
  <c r="C51" i="3"/>
  <c r="C60" i="3"/>
  <c r="C59" i="3"/>
  <c r="C58" i="3"/>
  <c r="C57" i="3"/>
  <c r="C56" i="3"/>
  <c r="C62" i="3"/>
  <c r="C55" i="3"/>
  <c r="C54" i="3"/>
  <c r="C53" i="3"/>
  <c r="D4" i="5"/>
  <c r="N16" i="12"/>
  <c r="M16" i="12"/>
  <c r="L16" i="12"/>
  <c r="O16" i="12" s="1"/>
  <c r="Q16" i="12" s="1"/>
  <c r="D5" i="5"/>
  <c r="H8" i="6"/>
  <c r="E2" i="9"/>
  <c r="C49" i="3"/>
  <c r="C40" i="3"/>
  <c r="C39" i="3"/>
  <c r="C48" i="3"/>
  <c r="C47" i="3"/>
  <c r="C46" i="3"/>
  <c r="C45" i="3"/>
  <c r="C44" i="3"/>
  <c r="C50" i="3"/>
  <c r="C43" i="3"/>
  <c r="C42" i="3"/>
  <c r="C41" i="3"/>
  <c r="G18" i="11"/>
  <c r="H6" i="11"/>
  <c r="G18" i="10"/>
  <c r="H6" i="10"/>
  <c r="F18" i="8"/>
  <c r="O7" i="17"/>
  <c r="Q7" i="17" s="1"/>
  <c r="R7" i="17" s="1"/>
  <c r="S7" i="17" s="1"/>
  <c r="N8" i="7"/>
  <c r="M8" i="7"/>
  <c r="L8" i="7"/>
  <c r="O8" i="7" s="1"/>
  <c r="Q8" i="7" s="1"/>
  <c r="Q14" i="14"/>
  <c r="C10" i="3"/>
  <c r="C4" i="3"/>
  <c r="C9" i="3"/>
  <c r="C14" i="3"/>
  <c r="C8" i="3"/>
  <c r="C13" i="3"/>
  <c r="C7" i="3"/>
  <c r="C12" i="3"/>
  <c r="C6" i="3"/>
  <c r="C3" i="3"/>
  <c r="E2" i="6"/>
  <c r="H17" i="6" s="1"/>
  <c r="C11" i="3"/>
  <c r="C5" i="3"/>
  <c r="D8" i="5"/>
  <c r="L18" i="12"/>
  <c r="N18" i="12"/>
  <c r="M18" i="12"/>
  <c r="O16" i="9"/>
  <c r="D13" i="5"/>
  <c r="O14" i="15"/>
  <c r="Q14" i="15" s="1"/>
  <c r="O9" i="7"/>
  <c r="Q9" i="7" s="1"/>
  <c r="O13" i="12"/>
  <c r="Q13" i="12" s="1"/>
  <c r="N14" i="7"/>
  <c r="M14" i="7"/>
  <c r="L14" i="7"/>
  <c r="O10" i="14"/>
  <c r="Q10" i="14" s="1"/>
  <c r="C73" i="3"/>
  <c r="E2" i="11"/>
  <c r="C63" i="3"/>
  <c r="C64" i="3"/>
  <c r="C74" i="3"/>
  <c r="C72" i="3"/>
  <c r="C71" i="3"/>
  <c r="C70" i="3"/>
  <c r="C69" i="3"/>
  <c r="C68" i="3"/>
  <c r="C67" i="3"/>
  <c r="C66" i="3"/>
  <c r="C65" i="3"/>
  <c r="E14" i="5" l="1"/>
  <c r="E5" i="5"/>
  <c r="L19" i="12"/>
  <c r="O7" i="12"/>
  <c r="G18" i="6"/>
  <c r="H6" i="6"/>
  <c r="D3" i="5"/>
  <c r="D15" i="5" s="1"/>
  <c r="C17" i="4" s="1"/>
  <c r="M19" i="12"/>
  <c r="H7" i="8"/>
  <c r="H14" i="8"/>
  <c r="H9" i="8"/>
  <c r="H10" i="8"/>
  <c r="H17" i="8"/>
  <c r="H12" i="8"/>
  <c r="H16" i="8"/>
  <c r="H8" i="8"/>
  <c r="H13" i="8"/>
  <c r="Q11" i="12"/>
  <c r="H16" i="6"/>
  <c r="H8" i="11"/>
  <c r="H11" i="11"/>
  <c r="H13" i="11"/>
  <c r="H7" i="11"/>
  <c r="H10" i="11"/>
  <c r="H14" i="11"/>
  <c r="H9" i="11"/>
  <c r="Q16" i="9"/>
  <c r="I6" i="10"/>
  <c r="H8" i="10"/>
  <c r="H9" i="10"/>
  <c r="H13" i="10"/>
  <c r="H7" i="10"/>
  <c r="H10" i="10"/>
  <c r="H11" i="10"/>
  <c r="H14" i="10"/>
  <c r="L7" i="15"/>
  <c r="K19" i="15"/>
  <c r="N7" i="15"/>
  <c r="N19" i="15" s="1"/>
  <c r="M7" i="15"/>
  <c r="M19" i="15" s="1"/>
  <c r="H15" i="6"/>
  <c r="H15" i="10"/>
  <c r="H6" i="8"/>
  <c r="H15" i="11"/>
  <c r="K19" i="7"/>
  <c r="N7" i="7"/>
  <c r="N19" i="7" s="1"/>
  <c r="M7" i="7"/>
  <c r="M19" i="7" s="1"/>
  <c r="L7" i="7"/>
  <c r="I6" i="11"/>
  <c r="H17" i="11"/>
  <c r="H16" i="10"/>
  <c r="J7" i="18"/>
  <c r="I8" i="18"/>
  <c r="Q14" i="12"/>
  <c r="Q9" i="12"/>
  <c r="O15" i="15"/>
  <c r="Q15" i="15" s="1"/>
  <c r="O11" i="15"/>
  <c r="Q11" i="15" s="1"/>
  <c r="Q10" i="15"/>
  <c r="H13" i="13"/>
  <c r="H15" i="13"/>
  <c r="H6" i="13"/>
  <c r="H14" i="13"/>
  <c r="H16" i="13"/>
  <c r="H17" i="13"/>
  <c r="H10" i="13"/>
  <c r="H9" i="13"/>
  <c r="H8" i="13"/>
  <c r="H7" i="13"/>
  <c r="H11" i="13"/>
  <c r="H12" i="13"/>
  <c r="O14" i="7"/>
  <c r="Q14" i="7" s="1"/>
  <c r="O18" i="12"/>
  <c r="Q18" i="12" s="1"/>
  <c r="J7" i="16"/>
  <c r="I8" i="16"/>
  <c r="Q11" i="9"/>
  <c r="Q17" i="9"/>
  <c r="O15" i="7"/>
  <c r="Q15" i="7" s="1"/>
  <c r="O19" i="14"/>
  <c r="Q7" i="14"/>
  <c r="O16" i="7"/>
  <c r="Q16" i="7" s="1"/>
  <c r="H11" i="8"/>
  <c r="O12" i="12"/>
  <c r="Q12" i="12" s="1"/>
  <c r="O17" i="7"/>
  <c r="Q17" i="7" s="1"/>
  <c r="O9" i="15"/>
  <c r="Q9" i="15" s="1"/>
  <c r="Q9" i="9"/>
  <c r="O8" i="14"/>
  <c r="Q8" i="14" s="1"/>
  <c r="L19" i="9"/>
  <c r="O7" i="9"/>
  <c r="E6" i="5"/>
  <c r="H11" i="6"/>
  <c r="H12" i="6"/>
  <c r="S11" i="19"/>
  <c r="R12" i="19"/>
  <c r="O12" i="7"/>
  <c r="Q12" i="7" s="1"/>
  <c r="P3" i="3"/>
  <c r="T3" i="3" s="1"/>
  <c r="O3" i="3"/>
  <c r="S3" i="3" s="1"/>
  <c r="N19" i="12"/>
  <c r="Q12" i="14"/>
  <c r="Q18" i="14"/>
  <c r="H14" i="6"/>
  <c r="Q18" i="15"/>
  <c r="H12" i="10"/>
  <c r="H7" i="6"/>
  <c r="Q8" i="12"/>
  <c r="R9" i="17"/>
  <c r="S9" i="17" s="1"/>
  <c r="Q15" i="9"/>
  <c r="H13" i="6"/>
  <c r="H10" i="6"/>
  <c r="E4" i="5" l="1"/>
  <c r="J6" i="10"/>
  <c r="R10" i="17"/>
  <c r="R7" i="14"/>
  <c r="R8" i="14" s="1"/>
  <c r="Q19" i="14"/>
  <c r="J8" i="18"/>
  <c r="I9" i="18"/>
  <c r="E13" i="5"/>
  <c r="J6" i="11"/>
  <c r="E9" i="5"/>
  <c r="L19" i="7"/>
  <c r="O7" i="7"/>
  <c r="E12" i="5"/>
  <c r="J8" i="16"/>
  <c r="I9" i="16"/>
  <c r="I7" i="11"/>
  <c r="J7" i="11" s="1"/>
  <c r="E7" i="5"/>
  <c r="E10" i="5"/>
  <c r="I7" i="10"/>
  <c r="J7" i="10" s="1"/>
  <c r="H18" i="11"/>
  <c r="E8" i="5"/>
  <c r="H18" i="8"/>
  <c r="I6" i="8"/>
  <c r="I7" i="8" s="1"/>
  <c r="I8" i="11"/>
  <c r="J8" i="11" s="1"/>
  <c r="H18" i="13"/>
  <c r="I6" i="13"/>
  <c r="H18" i="6"/>
  <c r="I6" i="6"/>
  <c r="O19" i="9"/>
  <c r="Q7" i="9"/>
  <c r="H18" i="10"/>
  <c r="O19" i="12"/>
  <c r="Q7" i="12"/>
  <c r="E11" i="5"/>
  <c r="L19" i="15"/>
  <c r="O7" i="15"/>
  <c r="S12" i="19"/>
  <c r="R13" i="19"/>
  <c r="S8" i="14" l="1"/>
  <c r="R9" i="14"/>
  <c r="J7" i="8"/>
  <c r="I8" i="8"/>
  <c r="Q19" i="12"/>
  <c r="R7" i="12"/>
  <c r="I9" i="11"/>
  <c r="J6" i="8"/>
  <c r="J9" i="18"/>
  <c r="I10" i="18"/>
  <c r="S13" i="19"/>
  <c r="R14" i="19"/>
  <c r="J9" i="16"/>
  <c r="I10" i="16"/>
  <c r="J6" i="6"/>
  <c r="Q19" i="9"/>
  <c r="R7" i="9"/>
  <c r="J6" i="13"/>
  <c r="S10" i="17"/>
  <c r="R11" i="17"/>
  <c r="S7" i="14"/>
  <c r="O19" i="15"/>
  <c r="Q7" i="15"/>
  <c r="I7" i="13"/>
  <c r="I8" i="10"/>
  <c r="O19" i="7"/>
  <c r="Q7" i="7"/>
  <c r="I7" i="6"/>
  <c r="J7" i="13" l="1"/>
  <c r="I8" i="13"/>
  <c r="Q19" i="15"/>
  <c r="R7" i="15"/>
  <c r="J10" i="16"/>
  <c r="I11" i="16"/>
  <c r="J8" i="8"/>
  <c r="I9" i="8"/>
  <c r="S9" i="14"/>
  <c r="R10" i="14"/>
  <c r="S11" i="17"/>
  <c r="R12" i="17"/>
  <c r="J10" i="18"/>
  <c r="I11" i="18"/>
  <c r="S7" i="9"/>
  <c r="R8" i="9"/>
  <c r="J9" i="11"/>
  <c r="I10" i="11"/>
  <c r="S7" i="12"/>
  <c r="R8" i="12"/>
  <c r="S14" i="19"/>
  <c r="R15" i="19"/>
  <c r="J7" i="6"/>
  <c r="I8" i="6"/>
  <c r="Q19" i="7"/>
  <c r="R7" i="7"/>
  <c r="E3" i="5"/>
  <c r="J8" i="10"/>
  <c r="I9" i="10"/>
  <c r="S7" i="15" l="1"/>
  <c r="R8" i="15"/>
  <c r="S12" i="17"/>
  <c r="R13" i="17"/>
  <c r="S10" i="14"/>
  <c r="R11" i="14"/>
  <c r="S7" i="7"/>
  <c r="R8" i="7"/>
  <c r="J8" i="6"/>
  <c r="I9" i="6"/>
  <c r="J9" i="10"/>
  <c r="I10" i="10"/>
  <c r="E15" i="5"/>
  <c r="B18" i="5" s="1"/>
  <c r="F3" i="5"/>
  <c r="J11" i="16"/>
  <c r="I12" i="16"/>
  <c r="J8" i="13"/>
  <c r="I9" i="13"/>
  <c r="J10" i="11"/>
  <c r="I11" i="11"/>
  <c r="J9" i="8"/>
  <c r="I10" i="8"/>
  <c r="S8" i="9"/>
  <c r="R9" i="9"/>
  <c r="J11" i="18"/>
  <c r="I12" i="18"/>
  <c r="R16" i="19"/>
  <c r="S15" i="19"/>
  <c r="S8" i="12"/>
  <c r="R9" i="12"/>
  <c r="S8" i="7" l="1"/>
  <c r="R9" i="7"/>
  <c r="J11" i="11"/>
  <c r="I12" i="11"/>
  <c r="J9" i="6"/>
  <c r="I10" i="6"/>
  <c r="J9" i="13"/>
  <c r="I10" i="13"/>
  <c r="J12" i="18"/>
  <c r="I13" i="18"/>
  <c r="S9" i="12"/>
  <c r="R10" i="12"/>
  <c r="S16" i="19"/>
  <c r="R17" i="19"/>
  <c r="S17" i="19" s="1"/>
  <c r="J12" i="16"/>
  <c r="I13" i="16"/>
  <c r="F4" i="5"/>
  <c r="G3" i="5"/>
  <c r="S11" i="14"/>
  <c r="R12" i="14"/>
  <c r="B38" i="5"/>
  <c r="B26" i="5"/>
  <c r="B36" i="5"/>
  <c r="B24" i="5"/>
  <c r="B34" i="5"/>
  <c r="B22" i="5"/>
  <c r="B25" i="5"/>
  <c r="B29" i="5"/>
  <c r="B28" i="5"/>
  <c r="B41" i="5"/>
  <c r="B40" i="5"/>
  <c r="B23" i="5"/>
  <c r="B39" i="5"/>
  <c r="B21" i="5"/>
  <c r="B37" i="5"/>
  <c r="B20" i="5"/>
  <c r="B35" i="5"/>
  <c r="B19" i="5"/>
  <c r="C42" i="4" s="1"/>
  <c r="B33" i="5"/>
  <c r="B42" i="5"/>
  <c r="B27" i="5"/>
  <c r="B32" i="5"/>
  <c r="B31" i="5"/>
  <c r="B30" i="5"/>
  <c r="S9" i="9"/>
  <c r="R10" i="9"/>
  <c r="S13" i="17"/>
  <c r="R14" i="17"/>
  <c r="J10" i="10"/>
  <c r="I11" i="10"/>
  <c r="J10" i="8"/>
  <c r="I11" i="8"/>
  <c r="S8" i="15"/>
  <c r="R9" i="15"/>
  <c r="J10" i="13" l="1"/>
  <c r="I11" i="13"/>
  <c r="S9" i="15"/>
  <c r="R10" i="15"/>
  <c r="J11" i="8"/>
  <c r="I12" i="8"/>
  <c r="F5" i="5"/>
  <c r="G4" i="5"/>
  <c r="J10" i="6"/>
  <c r="I11" i="6"/>
  <c r="S12" i="14"/>
  <c r="R13" i="14"/>
  <c r="J13" i="16"/>
  <c r="I14" i="16"/>
  <c r="S14" i="17"/>
  <c r="R15" i="17"/>
  <c r="S10" i="12"/>
  <c r="R11" i="12"/>
  <c r="J11" i="10"/>
  <c r="I12" i="10"/>
  <c r="J12" i="11"/>
  <c r="I13" i="11"/>
  <c r="S10" i="9"/>
  <c r="R11" i="9"/>
  <c r="S9" i="7"/>
  <c r="R10" i="7"/>
  <c r="J13" i="18"/>
  <c r="I14" i="18"/>
  <c r="J14" i="18" l="1"/>
  <c r="I15" i="18"/>
  <c r="F6" i="5"/>
  <c r="G5" i="5"/>
  <c r="S15" i="17"/>
  <c r="R16" i="17"/>
  <c r="J12" i="8"/>
  <c r="I13" i="8"/>
  <c r="J12" i="10"/>
  <c r="I13" i="10"/>
  <c r="S10" i="7"/>
  <c r="R11" i="7"/>
  <c r="J14" i="16"/>
  <c r="I15" i="16"/>
  <c r="S10" i="15"/>
  <c r="R11" i="15"/>
  <c r="J11" i="6"/>
  <c r="I12" i="6"/>
  <c r="S11" i="9"/>
  <c r="R12" i="9"/>
  <c r="J13" i="11"/>
  <c r="I14" i="11"/>
  <c r="S11" i="12"/>
  <c r="R12" i="12"/>
  <c r="S13" i="14"/>
  <c r="R14" i="14"/>
  <c r="J11" i="13"/>
  <c r="I12" i="13"/>
  <c r="S12" i="9" l="1"/>
  <c r="R13" i="9"/>
  <c r="J13" i="8"/>
  <c r="I14" i="8"/>
  <c r="S16" i="17"/>
  <c r="R17" i="17"/>
  <c r="S17" i="17" s="1"/>
  <c r="J13" i="10"/>
  <c r="I14" i="10"/>
  <c r="J12" i="13"/>
  <c r="I13" i="13"/>
  <c r="J12" i="6"/>
  <c r="I13" i="6"/>
  <c r="S11" i="15"/>
  <c r="R12" i="15"/>
  <c r="J15" i="16"/>
  <c r="I16" i="16"/>
  <c r="J16" i="16" s="1"/>
  <c r="S12" i="12"/>
  <c r="R13" i="12"/>
  <c r="G6" i="5"/>
  <c r="F7" i="5"/>
  <c r="J15" i="18"/>
  <c r="I16" i="18"/>
  <c r="J16" i="18" s="1"/>
  <c r="S14" i="14"/>
  <c r="R15" i="14"/>
  <c r="S11" i="7"/>
  <c r="R12" i="7"/>
  <c r="J14" i="11"/>
  <c r="I15" i="11"/>
  <c r="J13" i="13" l="1"/>
  <c r="I14" i="13"/>
  <c r="J15" i="11"/>
  <c r="I16" i="11"/>
  <c r="S12" i="15"/>
  <c r="R13" i="15"/>
  <c r="J14" i="10"/>
  <c r="I15" i="10"/>
  <c r="S15" i="14"/>
  <c r="R16" i="14"/>
  <c r="S13" i="9"/>
  <c r="R14" i="9"/>
  <c r="S13" i="12"/>
  <c r="R14" i="12"/>
  <c r="S12" i="7"/>
  <c r="R13" i="7"/>
  <c r="J14" i="8"/>
  <c r="I15" i="8"/>
  <c r="J13" i="6"/>
  <c r="I14" i="6"/>
  <c r="F8" i="5"/>
  <c r="G7" i="5"/>
  <c r="J14" i="6" l="1"/>
  <c r="I15" i="6"/>
  <c r="S13" i="15"/>
  <c r="R14" i="15"/>
  <c r="J16" i="11"/>
  <c r="I17" i="11"/>
  <c r="J15" i="10"/>
  <c r="I16" i="10"/>
  <c r="S13" i="7"/>
  <c r="R14" i="7"/>
  <c r="S16" i="14"/>
  <c r="R17" i="14"/>
  <c r="J15" i="8"/>
  <c r="I16" i="8"/>
  <c r="J14" i="13"/>
  <c r="I15" i="13"/>
  <c r="S14" i="12"/>
  <c r="R15" i="12"/>
  <c r="S14" i="9"/>
  <c r="R15" i="9"/>
  <c r="F9" i="5"/>
  <c r="G8" i="5"/>
  <c r="S15" i="9" l="1"/>
  <c r="R16" i="9"/>
  <c r="J15" i="6"/>
  <c r="I16" i="6"/>
  <c r="S14" i="7"/>
  <c r="R15" i="7"/>
  <c r="J16" i="10"/>
  <c r="I17" i="10"/>
  <c r="S15" i="12"/>
  <c r="R16" i="12"/>
  <c r="J17" i="11"/>
  <c r="J18" i="11" s="1"/>
  <c r="I18" i="11"/>
  <c r="J15" i="13"/>
  <c r="I16" i="13"/>
  <c r="S14" i="15"/>
  <c r="R15" i="15"/>
  <c r="J16" i="8"/>
  <c r="I17" i="8"/>
  <c r="F10" i="5"/>
  <c r="G9" i="5"/>
  <c r="S17" i="14"/>
  <c r="R18" i="14"/>
  <c r="S15" i="7" l="1"/>
  <c r="R16" i="7"/>
  <c r="S16" i="12"/>
  <c r="R17" i="12"/>
  <c r="J16" i="6"/>
  <c r="I17" i="6"/>
  <c r="S18" i="14"/>
  <c r="S19" i="14" s="1"/>
  <c r="R19" i="14"/>
  <c r="J17" i="10"/>
  <c r="J18" i="10" s="1"/>
  <c r="I18" i="10"/>
  <c r="J17" i="8"/>
  <c r="J18" i="8" s="1"/>
  <c r="I18" i="8"/>
  <c r="J16" i="13"/>
  <c r="I17" i="13"/>
  <c r="S16" i="9"/>
  <c r="R17" i="9"/>
  <c r="F11" i="5"/>
  <c r="G10" i="5"/>
  <c r="S15" i="15"/>
  <c r="R16" i="15"/>
  <c r="S16" i="15" l="1"/>
  <c r="R17" i="15"/>
  <c r="J17" i="6"/>
  <c r="J18" i="6" s="1"/>
  <c r="I18" i="6"/>
  <c r="S17" i="12"/>
  <c r="R18" i="12"/>
  <c r="S17" i="9"/>
  <c r="R18" i="9"/>
  <c r="F12" i="5"/>
  <c r="G11" i="5"/>
  <c r="J17" i="13"/>
  <c r="J18" i="13" s="1"/>
  <c r="I18" i="13"/>
  <c r="S16" i="7"/>
  <c r="R17" i="7"/>
  <c r="S18" i="12" l="1"/>
  <c r="S19" i="12" s="1"/>
  <c r="R19" i="12"/>
  <c r="S18" i="9"/>
  <c r="S19" i="9" s="1"/>
  <c r="R19" i="9"/>
  <c r="G12" i="5"/>
  <c r="F13" i="5"/>
  <c r="S17" i="7"/>
  <c r="R18" i="7"/>
  <c r="S17" i="15"/>
  <c r="R18" i="15"/>
  <c r="S18" i="7" l="1"/>
  <c r="S19" i="7" s="1"/>
  <c r="R19" i="7"/>
  <c r="S18" i="15"/>
  <c r="S19" i="15" s="1"/>
  <c r="R19" i="15"/>
  <c r="F14" i="5"/>
  <c r="G13" i="5"/>
  <c r="G14" i="5" l="1"/>
  <c r="F15" i="5"/>
  <c r="C33" i="4" l="1"/>
  <c r="G15" i="5"/>
  <c r="C36" i="4" s="1"/>
  <c r="C39" i="4" s="1"/>
</calcChain>
</file>

<file path=xl/sharedStrings.xml><?xml version="1.0" encoding="utf-8"?>
<sst xmlns="http://schemas.openxmlformats.org/spreadsheetml/2006/main" count="986" uniqueCount="114">
  <si>
    <t>Concepto</t>
  </si>
  <si>
    <t>Valor</t>
  </si>
  <si>
    <t>Inversion inicial</t>
  </si>
  <si>
    <t>Cuota mensual</t>
  </si>
  <si>
    <t>Inversión total (€)</t>
  </si>
  <si>
    <t>Valor (€)</t>
  </si>
  <si>
    <t>Observaciones</t>
  </si>
  <si>
    <t>Cuota mensual total (€)</t>
  </si>
  <si>
    <t>TOTAL</t>
  </si>
  <si>
    <t>Potencia FV instalación (kW)</t>
  </si>
  <si>
    <t>Paneles solares</t>
  </si>
  <si>
    <t>Mantenimiento</t>
  </si>
  <si>
    <t>Inversores</t>
  </si>
  <si>
    <t>Seguros</t>
  </si>
  <si>
    <t>Instalacion y montaje</t>
  </si>
  <si>
    <t>Gestion Administrativa</t>
  </si>
  <si>
    <t>Ingenieria y legalizacion</t>
  </si>
  <si>
    <t>Fondo de reserva</t>
  </si>
  <si>
    <t>Otros costes</t>
  </si>
  <si>
    <t>SUBVENCIONES</t>
  </si>
  <si>
    <t>Socio ID</t>
  </si>
  <si>
    <t>Nombre</t>
  </si>
  <si>
    <t>Coeficiente (%)</t>
  </si>
  <si>
    <t>Inversión inicial (€)</t>
  </si>
  <si>
    <t>Cuota mensual (€)</t>
  </si>
  <si>
    <t>Potencia recbida (kW)</t>
  </si>
  <si>
    <t>Javier</t>
  </si>
  <si>
    <t>Antonio</t>
  </si>
  <si>
    <t>Aitor</t>
  </si>
  <si>
    <t>Maria</t>
  </si>
  <si>
    <t xml:space="preserve">Lucia </t>
  </si>
  <si>
    <t>Blanca</t>
  </si>
  <si>
    <t>Laura</t>
  </si>
  <si>
    <t>Ivan</t>
  </si>
  <si>
    <t>Jesus</t>
  </si>
  <si>
    <t>Ana</t>
  </si>
  <si>
    <t>INGRESOS</t>
  </si>
  <si>
    <t>GASTOS</t>
  </si>
  <si>
    <t>ENERGIA GENERADA (kWh/mes)</t>
  </si>
  <si>
    <t>Año</t>
  </si>
  <si>
    <t>INGRESOS (€)</t>
  </si>
  <si>
    <t>GASTOS (€)</t>
  </si>
  <si>
    <t>BALANCE (€)</t>
  </si>
  <si>
    <t>Mes</t>
  </si>
  <si>
    <t>Socio</t>
  </si>
  <si>
    <t>Cuota (€)</t>
  </si>
  <si>
    <t>Estado</t>
  </si>
  <si>
    <t>Gasto (€)</t>
  </si>
  <si>
    <t>Energia (kWh/mes)</t>
  </si>
  <si>
    <t>Actuales</t>
  </si>
  <si>
    <t>Esperados</t>
  </si>
  <si>
    <t>Actual</t>
  </si>
  <si>
    <t>Esperado</t>
  </si>
  <si>
    <t>01/25</t>
  </si>
  <si>
    <t>Pagado</t>
  </si>
  <si>
    <t>02/25</t>
  </si>
  <si>
    <t>03/25</t>
  </si>
  <si>
    <t>04/25</t>
  </si>
  <si>
    <t>05/25</t>
  </si>
  <si>
    <t>06/25</t>
  </si>
  <si>
    <t>07/25</t>
  </si>
  <si>
    <t>Pendiente</t>
  </si>
  <si>
    <t>08/25</t>
  </si>
  <si>
    <t>09/25</t>
  </si>
  <si>
    <t>10/25</t>
  </si>
  <si>
    <t>11/25</t>
  </si>
  <si>
    <t>12/25</t>
  </si>
  <si>
    <t>DATOS ENERGETICOS</t>
  </si>
  <si>
    <t>POTENCIA INSTALADA (kW)</t>
  </si>
  <si>
    <t>PRODUCCIÓN ANUAL (kWh/año)</t>
  </si>
  <si>
    <t>ENERGÍA AUTOCONSUMIDA (kWh/año)</t>
  </si>
  <si>
    <t>ARBOLES PLANTADOS</t>
  </si>
  <si>
    <t>DATOS ECONOMICOS</t>
  </si>
  <si>
    <t>AHORRO ANUAL (€/año)</t>
  </si>
  <si>
    <t>AMORTIZACION (%)</t>
  </si>
  <si>
    <t>AÑOS DE AMORTIZACION</t>
  </si>
  <si>
    <t>AHORRO EN 25 AÑOS (€)</t>
  </si>
  <si>
    <t>Energia generada (kWh)</t>
  </si>
  <si>
    <t>Energia consumida (kWh)</t>
  </si>
  <si>
    <t>Energia Autoconsumida (kWh)</t>
  </si>
  <si>
    <t>Ahorro estimado (€)</t>
  </si>
  <si>
    <t>Ahorro acumulado (€)</t>
  </si>
  <si>
    <t>% Amortización</t>
  </si>
  <si>
    <t>Coeficiente emisiones de CO2 evitadas (kgCO2/kWh)</t>
  </si>
  <si>
    <t>Enero</t>
  </si>
  <si>
    <t>Arboles plantados (kgCO2/arbol)</t>
  </si>
  <si>
    <t>Febrero</t>
  </si>
  <si>
    <t>Marzo</t>
  </si>
  <si>
    <t xml:space="preserve">Abril 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</si>
  <si>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</si>
  <si>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</si>
  <si>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</si>
  <si>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</si>
  <si>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</si>
  <si>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</si>
  <si>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</si>
  <si>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</si>
  <si>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Ahorro anual (€)</t>
  </si>
  <si>
    <t>Tasa degradacion FV anual</t>
  </si>
  <si>
    <t>Tasa aumento precio electricidad</t>
  </si>
  <si>
    <t>Inversion inicial (€)</t>
  </si>
  <si>
    <t>Datos Factura</t>
  </si>
  <si>
    <t>Energía consumida (kWh)</t>
  </si>
  <si>
    <t>Energía compensada (kWh)</t>
  </si>
  <si>
    <t>Precio energía (€)</t>
  </si>
  <si>
    <t>Precio compensación (€)</t>
  </si>
  <si>
    <t>Acumulado ahorro (€)</t>
  </si>
  <si>
    <t>-</t>
  </si>
  <si>
    <t>Ahorro autoconsumo (€)</t>
  </si>
  <si>
    <t>Ahorro compensación (€)</t>
  </si>
  <si>
    <t>P1</t>
  </si>
  <si>
    <t>P2</t>
  </si>
  <si>
    <t>P3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</si>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</sst>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&quot;/&quot;yyyy&quot; &quot;"/>
    <numFmt numFmtId="165" formatCode="0.000"/>
    <numFmt numFmtId="166" formatCode="0.0"/>
  </numFmts>
  <fonts count="12">
    <font>
      <sz val="11"/>
      <color theme="1"/>
      <name val="Calibri"/>
      <scheme val="minor"/>
    </font>
    <font>
      <b/>
      <sz val="13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  <scheme val="minor"/>
    </font>
    <font>
      <sz val="11"/>
      <color theme="1"/>
      <name val="Arial"/>
    </font>
    <font>
      <b/>
      <sz val="22"/>
      <color rgb="FFFFFFFF"/>
      <name val="Helvetica Neue"/>
    </font>
    <font>
      <b/>
      <sz val="13"/>
      <color theme="1"/>
      <name val="Century Gothic"/>
    </font>
  </fonts>
  <fills count="8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134F5C"/>
        <bgColor rgb="FF134F5C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5" fillId="4" borderId="2" xfId="0" applyFont="1" applyFill="1" applyBorder="1"/>
    <xf numFmtId="0" fontId="6" fillId="3" borderId="10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6" xfId="0" applyFont="1" applyFill="1" applyBorder="1"/>
    <xf numFmtId="0" fontId="3" fillId="3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0" xfId="0" applyFont="1"/>
    <xf numFmtId="0" fontId="4" fillId="3" borderId="19" xfId="0" applyFont="1" applyFill="1" applyBorder="1" applyAlignment="1">
      <alignment horizontal="center"/>
    </xf>
    <xf numFmtId="0" fontId="4" fillId="0" borderId="6" xfId="0" applyFont="1" applyBorder="1"/>
    <xf numFmtId="0" fontId="4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4" fillId="0" borderId="0" xfId="0" applyNumberFormat="1" applyFont="1"/>
    <xf numFmtId="0" fontId="4" fillId="3" borderId="10" xfId="0" applyFont="1" applyFill="1" applyBorder="1" applyAlignment="1">
      <alignment horizontal="center"/>
    </xf>
    <xf numFmtId="0" fontId="4" fillId="0" borderId="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0" xfId="0" applyFont="1"/>
    <xf numFmtId="0" fontId="9" fillId="0" borderId="22" xfId="0" applyFont="1" applyBorder="1"/>
    <xf numFmtId="0" fontId="9" fillId="0" borderId="23" xfId="0" applyFont="1" applyBorder="1"/>
    <xf numFmtId="0" fontId="5" fillId="0" borderId="0" xfId="0" applyFont="1"/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1" fontId="9" fillId="3" borderId="30" xfId="0" applyNumberFormat="1" applyFont="1" applyFill="1" applyBorder="1"/>
    <xf numFmtId="165" fontId="9" fillId="3" borderId="31" xfId="0" applyNumberFormat="1" applyFont="1" applyFill="1" applyBorder="1" applyAlignment="1">
      <alignment horizontal="right"/>
    </xf>
    <xf numFmtId="1" fontId="5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10" fontId="5" fillId="3" borderId="6" xfId="0" applyNumberFormat="1" applyFont="1" applyFill="1" applyBorder="1" applyAlignment="1">
      <alignment horizontal="center"/>
    </xf>
    <xf numFmtId="1" fontId="9" fillId="3" borderId="32" xfId="0" applyNumberFormat="1" applyFont="1" applyFill="1" applyBorder="1"/>
    <xf numFmtId="1" fontId="9" fillId="3" borderId="33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0" fontId="6" fillId="3" borderId="2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9" fillId="3" borderId="33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/>
    </xf>
    <xf numFmtId="1" fontId="5" fillId="4" borderId="13" xfId="0" applyNumberFormat="1" applyFont="1" applyFill="1" applyBorder="1" applyAlignment="1">
      <alignment horizontal="center"/>
    </xf>
    <xf numFmtId="2" fontId="5" fillId="4" borderId="13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9" fontId="5" fillId="3" borderId="14" xfId="0" applyNumberFormat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9" fontId="5" fillId="3" borderId="6" xfId="0" applyNumberFormat="1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0" fontId="5" fillId="3" borderId="14" xfId="0" applyNumberFormat="1" applyFont="1" applyFill="1" applyBorder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/>
    </xf>
    <xf numFmtId="1" fontId="5" fillId="4" borderId="8" xfId="0" applyNumberFormat="1" applyFont="1" applyFill="1" applyBorder="1" applyAlignment="1">
      <alignment horizontal="center"/>
    </xf>
    <xf numFmtId="2" fontId="5" fillId="4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" fontId="5" fillId="3" borderId="8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9" fontId="5" fillId="3" borderId="9" xfId="0" applyNumberFormat="1" applyFont="1" applyFill="1" applyBorder="1" applyAlignment="1">
      <alignment horizontal="center"/>
    </xf>
    <xf numFmtId="0" fontId="3" fillId="2" borderId="36" xfId="0" applyFont="1" applyFill="1" applyBorder="1"/>
    <xf numFmtId="0" fontId="3" fillId="2" borderId="37" xfId="0" applyFont="1" applyFill="1" applyBorder="1"/>
    <xf numFmtId="0" fontId="3" fillId="2" borderId="38" xfId="0" applyFont="1" applyFill="1" applyBorder="1"/>
    <xf numFmtId="0" fontId="7" fillId="3" borderId="7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2" borderId="41" xfId="0" applyFont="1" applyFill="1" applyBorder="1"/>
    <xf numFmtId="0" fontId="3" fillId="2" borderId="35" xfId="0" applyFont="1" applyFill="1" applyBorder="1"/>
    <xf numFmtId="0" fontId="3" fillId="2" borderId="0" xfId="0" applyFont="1" applyFill="1"/>
    <xf numFmtId="0" fontId="3" fillId="2" borderId="44" xfId="0" applyFont="1" applyFill="1" applyBorder="1"/>
    <xf numFmtId="0" fontId="3" fillId="2" borderId="6" xfId="0" applyFont="1" applyFill="1" applyBorder="1"/>
    <xf numFmtId="0" fontId="4" fillId="3" borderId="12" xfId="0" applyFont="1" applyFill="1" applyBorder="1"/>
    <xf numFmtId="1" fontId="5" fillId="4" borderId="13" xfId="0" applyNumberFormat="1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2" fontId="5" fillId="4" borderId="13" xfId="0" applyNumberFormat="1" applyFont="1" applyFill="1" applyBorder="1" applyAlignment="1">
      <alignment horizontal="right"/>
    </xf>
    <xf numFmtId="0" fontId="5" fillId="3" borderId="13" xfId="0" applyFont="1" applyFill="1" applyBorder="1"/>
    <xf numFmtId="1" fontId="5" fillId="3" borderId="13" xfId="0" applyNumberFormat="1" applyFont="1" applyFill="1" applyBorder="1"/>
    <xf numFmtId="2" fontId="5" fillId="3" borderId="13" xfId="0" applyNumberFormat="1" applyFont="1" applyFill="1" applyBorder="1"/>
    <xf numFmtId="10" fontId="5" fillId="3" borderId="14" xfId="0" applyNumberFormat="1" applyFont="1" applyFill="1" applyBorder="1"/>
    <xf numFmtId="0" fontId="4" fillId="3" borderId="35" xfId="0" applyFont="1" applyFill="1" applyBorder="1"/>
    <xf numFmtId="1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2" fontId="5" fillId="4" borderId="0" xfId="0" applyNumberFormat="1" applyFont="1" applyFill="1" applyAlignment="1">
      <alignment horizontal="right"/>
    </xf>
    <xf numFmtId="0" fontId="5" fillId="3" borderId="0" xfId="0" applyFont="1" applyFill="1"/>
    <xf numFmtId="1" fontId="5" fillId="3" borderId="0" xfId="0" applyNumberFormat="1" applyFont="1" applyFill="1"/>
    <xf numFmtId="2" fontId="5" fillId="3" borderId="0" xfId="0" applyNumberFormat="1" applyFont="1" applyFill="1"/>
    <xf numFmtId="10" fontId="5" fillId="3" borderId="6" xfId="0" applyNumberFormat="1" applyFont="1" applyFill="1" applyBorder="1"/>
    <xf numFmtId="0" fontId="5" fillId="3" borderId="35" xfId="0" applyFont="1" applyFill="1" applyBorder="1"/>
    <xf numFmtId="0" fontId="5" fillId="3" borderId="7" xfId="0" applyFont="1" applyFill="1" applyBorder="1"/>
    <xf numFmtId="1" fontId="5" fillId="4" borderId="8" xfId="0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2" fontId="5" fillId="4" borderId="8" xfId="0" applyNumberFormat="1" applyFont="1" applyFill="1" applyBorder="1" applyAlignment="1">
      <alignment horizontal="right"/>
    </xf>
    <xf numFmtId="0" fontId="5" fillId="3" borderId="8" xfId="0" applyFont="1" applyFill="1" applyBorder="1"/>
    <xf numFmtId="1" fontId="5" fillId="3" borderId="8" xfId="0" applyNumberFormat="1" applyFont="1" applyFill="1" applyBorder="1"/>
    <xf numFmtId="2" fontId="5" fillId="3" borderId="8" xfId="0" applyNumberFormat="1" applyFont="1" applyFill="1" applyBorder="1"/>
    <xf numFmtId="10" fontId="5" fillId="3" borderId="9" xfId="0" applyNumberFormat="1" applyFont="1" applyFill="1" applyBorder="1"/>
    <xf numFmtId="0" fontId="6" fillId="3" borderId="3" xfId="0" applyFont="1" applyFill="1" applyBorder="1"/>
    <xf numFmtId="1" fontId="6" fillId="3" borderId="4" xfId="0" applyNumberFormat="1" applyFont="1" applyFill="1" applyBorder="1"/>
    <xf numFmtId="2" fontId="6" fillId="3" borderId="4" xfId="0" applyNumberFormat="1" applyFont="1" applyFill="1" applyBorder="1" applyAlignment="1">
      <alignment horizontal="right"/>
    </xf>
    <xf numFmtId="10" fontId="6" fillId="3" borderId="2" xfId="0" applyNumberFormat="1" applyFont="1" applyFill="1" applyBorder="1"/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9" fontId="0" fillId="3" borderId="6" xfId="0" applyNumberForma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3" fillId="2" borderId="11" xfId="0" applyFont="1" applyFill="1" applyBorder="1"/>
    <xf numFmtId="0" fontId="4" fillId="0" borderId="0" xfId="0" applyFont="1"/>
    <xf numFmtId="2" fontId="4" fillId="0" borderId="0" xfId="0" applyNumberFormat="1" applyFont="1"/>
    <xf numFmtId="9" fontId="4" fillId="0" borderId="0" xfId="0" applyNumberFormat="1" applyFont="1"/>
    <xf numFmtId="2" fontId="5" fillId="0" borderId="0" xfId="0" applyNumberFormat="1" applyFont="1"/>
    <xf numFmtId="0" fontId="7" fillId="0" borderId="0" xfId="0" applyFont="1"/>
    <xf numFmtId="0" fontId="3" fillId="2" borderId="16" xfId="0" applyFont="1" applyFill="1" applyBorder="1"/>
    <xf numFmtId="0" fontId="3" fillId="2" borderId="45" xfId="0" applyFont="1" applyFill="1" applyBorder="1"/>
    <xf numFmtId="1" fontId="4" fillId="0" borderId="0" xfId="0" applyNumberFormat="1" applyFont="1"/>
    <xf numFmtId="166" fontId="4" fillId="0" borderId="0" xfId="0" applyNumberFormat="1" applyFont="1"/>
    <xf numFmtId="10" fontId="4" fillId="0" borderId="0" xfId="0" applyNumberFormat="1" applyFont="1"/>
    <xf numFmtId="1" fontId="5" fillId="0" borderId="0" xfId="0" applyNumberFormat="1" applyFont="1"/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3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" fillId="2" borderId="12" xfId="0" applyFont="1" applyFill="1" applyBorder="1" applyAlignment="1">
      <alignment horizontal="center" vertical="center"/>
    </xf>
    <xf numFmtId="0" fontId="2" fillId="0" borderId="18" xfId="0" applyFont="1" applyBorder="1"/>
    <xf numFmtId="0" fontId="10" fillId="5" borderId="24" xfId="0" applyFont="1" applyFill="1" applyBorder="1" applyAlignment="1">
      <alignment horizontal="center"/>
    </xf>
    <xf numFmtId="0" fontId="2" fillId="0" borderId="25" xfId="0" applyFont="1" applyBorder="1"/>
    <xf numFmtId="0" fontId="2" fillId="0" borderId="23" xfId="0" applyFont="1" applyBorder="1"/>
    <xf numFmtId="0" fontId="11" fillId="6" borderId="26" xfId="0" applyFont="1" applyFill="1" applyBorder="1" applyAlignment="1">
      <alignment horizontal="center" vertical="center" wrapText="1"/>
    </xf>
    <xf numFmtId="0" fontId="2" fillId="0" borderId="26" xfId="0" applyFont="1" applyBorder="1"/>
    <xf numFmtId="4" fontId="11" fillId="7" borderId="26" xfId="0" applyNumberFormat="1" applyFont="1" applyFill="1" applyBorder="1" applyAlignment="1">
      <alignment horizontal="center" vertical="center"/>
    </xf>
    <xf numFmtId="3" fontId="11" fillId="7" borderId="26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wrapText="1"/>
    </xf>
    <xf numFmtId="1" fontId="11" fillId="0" borderId="26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center" wrapText="1"/>
    </xf>
    <xf numFmtId="10" fontId="11" fillId="7" borderId="2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2" fillId="0" borderId="40" xfId="0" applyFont="1" applyBorder="1"/>
    <xf numFmtId="0" fontId="3" fillId="2" borderId="41" xfId="0" applyFont="1" applyFill="1" applyBorder="1" applyAlignment="1">
      <alignment horizontal="center" vertical="center"/>
    </xf>
    <xf numFmtId="0" fontId="2" fillId="0" borderId="43" xfId="0" applyFont="1" applyBorder="1"/>
    <xf numFmtId="0" fontId="2" fillId="0" borderId="42" xfId="0" applyFont="1" applyBorder="1"/>
    <xf numFmtId="0" fontId="3" fillId="2" borderId="41" xfId="0" applyFont="1" applyFill="1" applyBorder="1" applyAlignment="1">
      <alignment vertical="center"/>
    </xf>
    <xf numFmtId="0" fontId="2" fillId="0" borderId="44" xfId="0" applyFont="1" applyBorder="1"/>
    <xf numFmtId="0" fontId="3" fillId="2" borderId="39" xfId="0" applyFont="1" applyFill="1" applyBorder="1"/>
    <xf numFmtId="2" fontId="3" fillId="2" borderId="39" xfId="0" applyNumberFormat="1" applyFont="1" applyFill="1" applyBorder="1" applyAlignment="1">
      <alignment horizontal="center"/>
    </xf>
    <xf numFmtId="2" fontId="3" fillId="2" borderId="41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2" fillId="0" borderId="47" xfId="0" applyFont="1" applyBorder="1"/>
    <xf numFmtId="0" fontId="3" fillId="2" borderId="16" xfId="0" applyFont="1" applyFill="1" applyBorder="1" applyAlignment="1">
      <alignment vertical="center"/>
    </xf>
    <xf numFmtId="0" fontId="3" fillId="2" borderId="4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Consumos y generación mensuales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CONSUMO</c:v>
          </c:tx>
          <c:spPr>
            <a:solidFill>
              <a:srgbClr val="07376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'Media socios'!$A$3:$A$14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'Media socios'!$C$3:$C$14</c:f>
              <c:numCache>
                <c:formatCode>0</c:formatCode>
                <c:ptCount val="12"/>
                <c:pt idx="0">
                  <c:v>3692.64</c:v>
                </c:pt>
                <c:pt idx="1">
                  <c:v>3325.1900000000005</c:v>
                </c:pt>
                <c:pt idx="2">
                  <c:v>3794.8800000000006</c:v>
                </c:pt>
                <c:pt idx="3">
                  <c:v>3297.7899999999995</c:v>
                </c:pt>
                <c:pt idx="4">
                  <c:v>3384.7599999999993</c:v>
                </c:pt>
                <c:pt idx="5">
                  <c:v>3501.0899999999997</c:v>
                </c:pt>
                <c:pt idx="6">
                  <c:v>3340.5499999999997</c:v>
                </c:pt>
                <c:pt idx="7">
                  <c:v>3225.5199999999995</c:v>
                </c:pt>
                <c:pt idx="8">
                  <c:v>3385.2999999999997</c:v>
                </c:pt>
                <c:pt idx="9">
                  <c:v>3537.7500000000005</c:v>
                </c:pt>
                <c:pt idx="10">
                  <c:v>3488.1899999999996</c:v>
                </c:pt>
                <c:pt idx="11">
                  <c:v>3502.6299999999997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2B5-4C00-8666-55547D661E16}"/>
            </c:ext>
          </c:extLst>
        </c:ser>
        <c:ser>
          <c:idx val="1"/>
          <c:order val="1"/>
          <c:tx>
            <c:v>GENERACION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'Media socios'!$A$3:$A$14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'Media socios'!$B$3:$B$14</c:f>
              <c:numCache>
                <c:formatCode>General</c:formatCode>
                <c:ptCount val="12"/>
                <c:pt idx="0">
                  <c:v>1600</c:v>
                </c:pt>
                <c:pt idx="1">
                  <c:v>2000</c:v>
                </c:pt>
                <c:pt idx="2">
                  <c:v>2800</c:v>
                </c:pt>
                <c:pt idx="3">
                  <c:v>3200</c:v>
                </c:pt>
                <c:pt idx="4">
                  <c:v>3600</c:v>
                </c:pt>
                <c:pt idx="5">
                  <c:v>3600</c:v>
                </c:pt>
                <c:pt idx="6">
                  <c:v>4000</c:v>
                </c:pt>
                <c:pt idx="7">
                  <c:v>3800</c:v>
                </c:pt>
                <c:pt idx="8">
                  <c:v>3200</c:v>
                </c:pt>
                <c:pt idx="9">
                  <c:v>2600</c:v>
                </c:pt>
                <c:pt idx="10">
                  <c:v>1800</c:v>
                </c:pt>
                <c:pt idx="11">
                  <c:v>1400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2B5-4C00-8666-55547D661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085649"/>
        <c:axId val="406966273"/>
      </c:barChart>
      <c:catAx>
        <c:axId val="8290856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406966273"/>
        <c:crosses val="autoZero"/>
        <c:auto val="1"/>
        <c:lblAlgn val="ctr"/>
        <c:lblOffset val="100"/>
        <c:noMultiLvlLbl val="1"/>
      </c:catAx>
      <c:valAx>
        <c:axId val="4069662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Consumos y generacin (kWh)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82908564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Ahorros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Ahorro mensual</c:v>
          </c:tx>
          <c:spPr>
            <a:solidFill>
              <a:srgbClr val="07376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'Media socios'!$A$3:$A$14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'Media socios'!$E$3:$E$14</c:f>
              <c:numCache>
                <c:formatCode>0.00</c:formatCode>
                <c:ptCount val="12"/>
                <c:pt idx="0">
                  <c:v>200.31164000000001</c:v>
                </c:pt>
                <c:pt idx="1">
                  <c:v>256.27279999999996</c:v>
                </c:pt>
                <c:pt idx="2">
                  <c:v>418.24964</c:v>
                </c:pt>
                <c:pt idx="3">
                  <c:v>449.68083372000007</c:v>
                </c:pt>
                <c:pt idx="4">
                  <c:v>496.60046983999996</c:v>
                </c:pt>
                <c:pt idx="5">
                  <c:v>505.06597703000006</c:v>
                </c:pt>
                <c:pt idx="6">
                  <c:v>516.83110427999986</c:v>
                </c:pt>
                <c:pt idx="7">
                  <c:v>510.70616426000004</c:v>
                </c:pt>
                <c:pt idx="8">
                  <c:v>455.18036808000005</c:v>
                </c:pt>
                <c:pt idx="9">
                  <c:v>364.07165000000003</c:v>
                </c:pt>
                <c:pt idx="10">
                  <c:v>236.40169</c:v>
                </c:pt>
                <c:pt idx="11">
                  <c:v>162.79429999999996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6A-4A22-87D1-20F963157FE0}"/>
            </c:ext>
          </c:extLst>
        </c:ser>
        <c:ser>
          <c:idx val="1"/>
          <c:order val="1"/>
          <c:tx>
            <c:v>Ahorro acumulado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'Media socios'!$A$3:$A$14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'Media socios'!$F$3:$F$14</c:f>
              <c:numCache>
                <c:formatCode>0.00</c:formatCode>
                <c:ptCount val="12"/>
                <c:pt idx="0">
                  <c:v>200.31164000000001</c:v>
                </c:pt>
                <c:pt idx="1">
                  <c:v>456.58443999999997</c:v>
                </c:pt>
                <c:pt idx="2">
                  <c:v>874.83407999999997</c:v>
                </c:pt>
                <c:pt idx="3">
                  <c:v>1324.5149137200001</c:v>
                </c:pt>
                <c:pt idx="4">
                  <c:v>1821.1153835600001</c:v>
                </c:pt>
                <c:pt idx="5">
                  <c:v>2326.1813605900002</c:v>
                </c:pt>
                <c:pt idx="6">
                  <c:v>2843.0124648700003</c:v>
                </c:pt>
                <c:pt idx="7">
                  <c:v>3353.7186291300004</c:v>
                </c:pt>
                <c:pt idx="8">
                  <c:v>3808.8989972100003</c:v>
                </c:pt>
                <c:pt idx="9">
                  <c:v>4172.9706472100006</c:v>
                </c:pt>
                <c:pt idx="10">
                  <c:v>4409.3723372100003</c:v>
                </c:pt>
                <c:pt idx="11">
                  <c:v>4572.1666372099999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F6A-4A22-87D1-20F96315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281564"/>
        <c:axId val="869087755"/>
      </c:barChart>
      <c:catAx>
        <c:axId val="7232815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869087755"/>
        <c:crosses val="autoZero"/>
        <c:auto val="1"/>
        <c:lblAlgn val="ctr"/>
        <c:lblOffset val="100"/>
        <c:noMultiLvlLbl val="1"/>
      </c:catAx>
      <c:valAx>
        <c:axId val="8690877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b="1">
                    <a:solidFill>
                      <a:srgbClr val="000000"/>
                    </a:solidFill>
                    <a:latin typeface="+mn-lt"/>
                  </a:rPr>
                  <a:t>Ahorro (€)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72328156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rgbClr val="FFFFFF">
        <a:alpha val="0"/>
      </a:srgb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8</xdr:row>
      <xdr:rowOff>38100</xdr:rowOff>
    </xdr:from>
    <xdr:ext cx="5305425" cy="3286125"/>
    <xdr:graphicFrame macro="">
      <xdr:nvGraphicFramePr>
        <xdr:cNvPr id="103039012" name="Chart 1" title="Gráfico">
          <a:extLst>
            <a:ext uri="{FF2B5EF4-FFF2-40B4-BE49-F238E27FC236}">
              <a16:creationId xmlns:a16="http://schemas.microsoft.com/office/drawing/2014/main" id="{00000000-0008-0000-0300-000024402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323850</xdr:colOff>
      <xdr:row>30</xdr:row>
      <xdr:rowOff>114300</xdr:rowOff>
    </xdr:from>
    <xdr:ext cx="5305425" cy="3286125"/>
    <xdr:graphicFrame macro="">
      <xdr:nvGraphicFramePr>
        <xdr:cNvPr id="1519005188" name="Chart 2" title="Gráfico">
          <a:extLst>
            <a:ext uri="{FF2B5EF4-FFF2-40B4-BE49-F238E27FC236}">
              <a16:creationId xmlns:a16="http://schemas.microsoft.com/office/drawing/2014/main" id="{00000000-0008-0000-0300-0000042E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276225</xdr:colOff>
      <xdr:row>0</xdr:row>
      <xdr:rowOff>0</xdr:rowOff>
    </xdr:from>
    <xdr:ext cx="2571750" cy="1085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showGridLines="0" tabSelected="1" workbookViewId="0"/>
  </sheetViews>
  <sheetFormatPr baseColWidth="10" defaultColWidth="14.42578125" defaultRowHeight="15" customHeight="1"/>
  <cols>
    <col min="1" max="1" width="25.28515625" customWidth="1"/>
    <col min="2" max="3" width="8.7109375" customWidth="1"/>
    <col min="4" max="4" width="21.28515625" customWidth="1"/>
    <col min="5" max="5" width="8.7109375" customWidth="1"/>
    <col min="6" max="6" width="38.28515625" customWidth="1"/>
    <col min="7" max="7" width="8.7109375" customWidth="1"/>
    <col min="8" max="8" width="20.42578125" customWidth="1"/>
    <col min="9" max="9" width="8.7109375" customWidth="1"/>
    <col min="10" max="10" width="35" customWidth="1"/>
    <col min="11" max="11" width="8.7109375" customWidth="1"/>
  </cols>
  <sheetData>
    <row r="1" spans="1:10" ht="15" customHeight="1">
      <c r="A1" s="1" t="s">
        <v>0</v>
      </c>
      <c r="B1" s="2" t="s">
        <v>1</v>
      </c>
      <c r="D1" s="179" t="s">
        <v>2</v>
      </c>
      <c r="E1" s="180"/>
      <c r="F1" s="181"/>
      <c r="H1" s="179" t="s">
        <v>3</v>
      </c>
      <c r="I1" s="180"/>
      <c r="J1" s="181"/>
    </row>
    <row r="2" spans="1:10">
      <c r="A2" s="3" t="s">
        <v>4</v>
      </c>
      <c r="B2" s="4">
        <f>E3</f>
        <v>20000</v>
      </c>
      <c r="D2" s="5" t="s">
        <v>0</v>
      </c>
      <c r="E2" s="6" t="s">
        <v>5</v>
      </c>
      <c r="F2" s="7" t="s">
        <v>6</v>
      </c>
      <c r="H2" s="8" t="s">
        <v>0</v>
      </c>
      <c r="I2" s="6" t="s">
        <v>5</v>
      </c>
      <c r="J2" s="7" t="s">
        <v>6</v>
      </c>
    </row>
    <row r="3" spans="1:10">
      <c r="A3" s="3" t="s">
        <v>7</v>
      </c>
      <c r="B3" s="4">
        <f>I3</f>
        <v>80</v>
      </c>
      <c r="D3" s="9" t="s">
        <v>8</v>
      </c>
      <c r="E3" s="10">
        <f>SUM(E4:E8)-E9</f>
        <v>20000</v>
      </c>
      <c r="F3" s="11"/>
      <c r="H3" s="9" t="s">
        <v>8</v>
      </c>
      <c r="I3" s="10">
        <f>SUM(I4:I7)</f>
        <v>80</v>
      </c>
      <c r="J3" s="11"/>
    </row>
    <row r="4" spans="1:10">
      <c r="A4" s="12" t="s">
        <v>9</v>
      </c>
      <c r="B4" s="13">
        <v>20</v>
      </c>
      <c r="D4" s="3" t="s">
        <v>10</v>
      </c>
      <c r="E4" s="14">
        <v>9000</v>
      </c>
      <c r="F4" s="15"/>
      <c r="H4" s="3" t="s">
        <v>11</v>
      </c>
      <c r="I4" s="14">
        <v>20</v>
      </c>
      <c r="J4" s="15"/>
    </row>
    <row r="5" spans="1:10">
      <c r="D5" s="3" t="s">
        <v>12</v>
      </c>
      <c r="E5" s="14">
        <v>4000</v>
      </c>
      <c r="F5" s="15"/>
      <c r="H5" s="3" t="s">
        <v>13</v>
      </c>
      <c r="I5" s="14">
        <v>10</v>
      </c>
      <c r="J5" s="15"/>
    </row>
    <row r="6" spans="1:10">
      <c r="D6" s="3" t="s">
        <v>14</v>
      </c>
      <c r="E6" s="14">
        <v>5000</v>
      </c>
      <c r="F6" s="15"/>
      <c r="H6" s="3" t="s">
        <v>15</v>
      </c>
      <c r="I6" s="14">
        <v>10</v>
      </c>
      <c r="J6" s="15"/>
    </row>
    <row r="7" spans="1:10">
      <c r="D7" s="3" t="s">
        <v>16</v>
      </c>
      <c r="E7" s="14">
        <v>1600</v>
      </c>
      <c r="F7" s="15"/>
      <c r="H7" s="16" t="s">
        <v>17</v>
      </c>
      <c r="I7" s="17">
        <v>40</v>
      </c>
      <c r="J7" s="18"/>
    </row>
    <row r="8" spans="1:10">
      <c r="D8" s="3" t="s">
        <v>18</v>
      </c>
      <c r="E8" s="14">
        <v>400</v>
      </c>
      <c r="F8" s="15"/>
    </row>
    <row r="9" spans="1:10">
      <c r="D9" s="16" t="s">
        <v>19</v>
      </c>
      <c r="E9" s="19"/>
      <c r="F9" s="18"/>
    </row>
  </sheetData>
  <mergeCells count="2">
    <mergeCell ref="D1:F1"/>
    <mergeCell ref="H1:J1"/>
  </mergeCells>
  <pageMargins left="0.75" right="0.75" top="1" bottom="1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9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11" width="8.7109375" customWidth="1"/>
  </cols>
  <sheetData>
    <row r="1" spans="1:11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31"/>
      <c r="G1" s="31"/>
      <c r="H1" s="31"/>
      <c r="I1" s="31"/>
      <c r="J1" s="31"/>
      <c r="K1" s="31"/>
    </row>
    <row r="2" spans="1:11">
      <c r="A2" s="76">
        <f>Socios!A6</f>
        <v>5</v>
      </c>
      <c r="B2" s="76" t="str">
        <f>Socios!B6</f>
        <v xml:space="preserve">Lucia </v>
      </c>
      <c r="C2" s="76">
        <f>Socios!C6</f>
        <v>5</v>
      </c>
      <c r="D2" s="76">
        <f>Socios!D6</f>
        <v>1000</v>
      </c>
      <c r="E2" s="77">
        <f>Socios!E6</f>
        <v>4</v>
      </c>
      <c r="F2" s="31"/>
      <c r="G2" s="31"/>
      <c r="H2" s="31"/>
      <c r="I2" s="31"/>
      <c r="J2" s="31"/>
      <c r="K2" s="31"/>
    </row>
    <row r="3" spans="1:11">
      <c r="A3" s="31"/>
      <c r="B3" s="27"/>
      <c r="C3" s="27"/>
      <c r="D3" s="27"/>
      <c r="E3" s="27"/>
      <c r="F3" s="31"/>
      <c r="G3" s="31"/>
      <c r="H3" s="31"/>
      <c r="I3" s="31"/>
      <c r="J3" s="31"/>
      <c r="K3" s="31"/>
    </row>
    <row r="4" spans="1:11">
      <c r="A4" s="31"/>
      <c r="B4" s="198" t="s">
        <v>101</v>
      </c>
      <c r="C4" s="180"/>
      <c r="D4" s="180"/>
      <c r="E4" s="181"/>
      <c r="F4" s="31"/>
      <c r="G4" s="31"/>
      <c r="H4" s="31"/>
      <c r="I4" s="31"/>
      <c r="J4" s="31"/>
      <c r="K4" s="31"/>
    </row>
    <row r="5" spans="1:11">
      <c r="A5" s="93" t="s">
        <v>43</v>
      </c>
      <c r="B5" s="94" t="s">
        <v>102</v>
      </c>
      <c r="C5" s="94" t="s">
        <v>103</v>
      </c>
      <c r="D5" s="94" t="s">
        <v>104</v>
      </c>
      <c r="E5" s="94" t="s">
        <v>105</v>
      </c>
      <c r="F5" s="94" t="s">
        <v>77</v>
      </c>
      <c r="G5" s="94" t="s">
        <v>79</v>
      </c>
      <c r="H5" s="94" t="s">
        <v>80</v>
      </c>
      <c r="I5" s="94" t="s">
        <v>106</v>
      </c>
      <c r="J5" s="95" t="s">
        <v>82</v>
      </c>
      <c r="K5" s="31"/>
    </row>
    <row r="6" spans="1:11">
      <c r="A6" s="86" t="s">
        <v>53</v>
      </c>
      <c r="B6" s="87">
        <v>162.91</v>
      </c>
      <c r="C6" s="87">
        <v>0</v>
      </c>
      <c r="D6" s="88">
        <v>0.19309999999999999</v>
      </c>
      <c r="E6" s="88">
        <v>4.6100000000000002E-2</v>
      </c>
      <c r="F6" s="24">
        <f>'Reparto economico'!L3*$C$2/100</f>
        <v>80</v>
      </c>
      <c r="G6" s="59">
        <f t="shared" ref="G6:G17" si="0">F6-C6</f>
        <v>80</v>
      </c>
      <c r="H6" s="60">
        <f t="shared" ref="H6:H17" si="1">(G6*D6+C6*E6)-$E$2</f>
        <v>11.448</v>
      </c>
      <c r="I6" s="60">
        <f>H6</f>
        <v>11.448</v>
      </c>
      <c r="J6" s="89">
        <f t="shared" ref="J6:J17" si="2">I6/$D$2</f>
        <v>1.1448E-2</v>
      </c>
      <c r="K6" s="31"/>
    </row>
    <row r="7" spans="1:11">
      <c r="A7" s="86" t="s">
        <v>55</v>
      </c>
      <c r="B7" s="87">
        <v>193.76</v>
      </c>
      <c r="C7" s="87">
        <v>0</v>
      </c>
      <c r="D7" s="88">
        <v>0.15440000000000001</v>
      </c>
      <c r="E7" s="88">
        <v>5.3800000000000001E-2</v>
      </c>
      <c r="F7" s="24">
        <f>'Reparto economico'!L4*$C$2/100</f>
        <v>100</v>
      </c>
      <c r="G7" s="59">
        <f t="shared" si="0"/>
        <v>100</v>
      </c>
      <c r="H7" s="60">
        <f t="shared" si="1"/>
        <v>11.440000000000001</v>
      </c>
      <c r="I7" s="60">
        <f t="shared" ref="I7:I17" si="3">H7+I6</f>
        <v>22.888000000000002</v>
      </c>
      <c r="J7" s="89">
        <f t="shared" si="2"/>
        <v>2.2888000000000002E-2</v>
      </c>
      <c r="K7" s="31"/>
    </row>
    <row r="8" spans="1:11">
      <c r="A8" s="86" t="s">
        <v>56</v>
      </c>
      <c r="B8" s="87">
        <v>172.72</v>
      </c>
      <c r="C8" s="87">
        <v>0</v>
      </c>
      <c r="D8" s="88">
        <v>0.18679999999999999</v>
      </c>
      <c r="E8" s="88">
        <v>7.51E-2</v>
      </c>
      <c r="F8" s="24">
        <f>'Reparto economico'!L5*$C$2/100</f>
        <v>140</v>
      </c>
      <c r="G8" s="59">
        <f t="shared" si="0"/>
        <v>140</v>
      </c>
      <c r="H8" s="60">
        <f t="shared" si="1"/>
        <v>22.151999999999997</v>
      </c>
      <c r="I8" s="60">
        <f t="shared" si="3"/>
        <v>45.04</v>
      </c>
      <c r="J8" s="89">
        <f t="shared" si="2"/>
        <v>4.5039999999999997E-2</v>
      </c>
      <c r="K8" s="31"/>
    </row>
    <row r="9" spans="1:11">
      <c r="A9" s="86" t="s">
        <v>57</v>
      </c>
      <c r="B9" s="87">
        <v>134.54</v>
      </c>
      <c r="C9" s="87">
        <v>25.46</v>
      </c>
      <c r="D9" s="88">
        <v>0.18509999999999999</v>
      </c>
      <c r="E9" s="88">
        <v>6.6000000000000003E-2</v>
      </c>
      <c r="F9" s="24">
        <f>'Reparto economico'!L6*$C$2/100</f>
        <v>160</v>
      </c>
      <c r="G9" s="59">
        <f t="shared" si="0"/>
        <v>134.54</v>
      </c>
      <c r="H9" s="60">
        <f t="shared" si="1"/>
        <v>22.583713999999997</v>
      </c>
      <c r="I9" s="60">
        <f t="shared" si="3"/>
        <v>67.623713999999993</v>
      </c>
      <c r="J9" s="89">
        <f t="shared" si="2"/>
        <v>6.7623713999999988E-2</v>
      </c>
      <c r="K9" s="31"/>
    </row>
    <row r="10" spans="1:11">
      <c r="A10" s="90" t="s">
        <v>58</v>
      </c>
      <c r="B10" s="87">
        <v>117.47</v>
      </c>
      <c r="C10" s="87">
        <v>62.53</v>
      </c>
      <c r="D10" s="88">
        <v>0.15690000000000001</v>
      </c>
      <c r="E10" s="88">
        <v>4.1599999999999998E-2</v>
      </c>
      <c r="F10" s="24">
        <f>'Reparto economico'!L7*$C$2/100</f>
        <v>180</v>
      </c>
      <c r="G10" s="59">
        <f t="shared" si="0"/>
        <v>117.47</v>
      </c>
      <c r="H10" s="60">
        <f t="shared" si="1"/>
        <v>17.032291000000001</v>
      </c>
      <c r="I10" s="60">
        <f t="shared" si="3"/>
        <v>84.656004999999993</v>
      </c>
      <c r="J10" s="89">
        <f t="shared" si="2"/>
        <v>8.4656004999999993E-2</v>
      </c>
      <c r="K10" s="31"/>
    </row>
    <row r="11" spans="1:11">
      <c r="A11" s="90" t="s">
        <v>59</v>
      </c>
      <c r="B11" s="87">
        <v>190.15</v>
      </c>
      <c r="C11" s="87">
        <v>0</v>
      </c>
      <c r="D11" s="88">
        <v>0.1928</v>
      </c>
      <c r="E11" s="88">
        <v>7.5800000000000006E-2</v>
      </c>
      <c r="F11" s="24">
        <f>'Reparto economico'!L8*$C$2/100</f>
        <v>180</v>
      </c>
      <c r="G11" s="59">
        <f t="shared" si="0"/>
        <v>180</v>
      </c>
      <c r="H11" s="60">
        <f t="shared" si="1"/>
        <v>30.704000000000001</v>
      </c>
      <c r="I11" s="60">
        <f t="shared" si="3"/>
        <v>115.360005</v>
      </c>
      <c r="J11" s="89">
        <f t="shared" si="2"/>
        <v>0.115360005</v>
      </c>
      <c r="K11" s="31"/>
    </row>
    <row r="12" spans="1:11">
      <c r="A12" s="90" t="s">
        <v>60</v>
      </c>
      <c r="B12" s="87">
        <v>102.48</v>
      </c>
      <c r="C12" s="87">
        <v>97.52</v>
      </c>
      <c r="D12" s="88">
        <v>0.19769999999999999</v>
      </c>
      <c r="E12" s="88">
        <v>6.7699999999999996E-2</v>
      </c>
      <c r="F12" s="24">
        <f>'Reparto economico'!L9*$C$2/100</f>
        <v>200</v>
      </c>
      <c r="G12" s="59">
        <f t="shared" si="0"/>
        <v>102.48</v>
      </c>
      <c r="H12" s="60">
        <f t="shared" si="1"/>
        <v>22.862400000000001</v>
      </c>
      <c r="I12" s="60">
        <f t="shared" si="3"/>
        <v>138.22240500000001</v>
      </c>
      <c r="J12" s="89">
        <f t="shared" si="2"/>
        <v>0.13822240500000002</v>
      </c>
      <c r="K12" s="31"/>
    </row>
    <row r="13" spans="1:11">
      <c r="A13" s="90" t="s">
        <v>62</v>
      </c>
      <c r="B13" s="87">
        <v>190.66</v>
      </c>
      <c r="C13" s="87">
        <v>0</v>
      </c>
      <c r="D13" s="88">
        <v>0.18970000000000001</v>
      </c>
      <c r="E13" s="88">
        <v>7.5899999999999995E-2</v>
      </c>
      <c r="F13" s="24">
        <f>'Reparto economico'!L10*$C$2/100</f>
        <v>190</v>
      </c>
      <c r="G13" s="59">
        <f t="shared" si="0"/>
        <v>190</v>
      </c>
      <c r="H13" s="60">
        <f t="shared" si="1"/>
        <v>32.042999999999999</v>
      </c>
      <c r="I13" s="60">
        <f t="shared" si="3"/>
        <v>170.26540500000002</v>
      </c>
      <c r="J13" s="89">
        <f t="shared" si="2"/>
        <v>0.17026540500000001</v>
      </c>
      <c r="K13" s="31"/>
    </row>
    <row r="14" spans="1:11">
      <c r="A14" s="90" t="s">
        <v>63</v>
      </c>
      <c r="B14" s="87">
        <v>185.03</v>
      </c>
      <c r="C14" s="87">
        <v>0</v>
      </c>
      <c r="D14" s="88">
        <v>0.1719</v>
      </c>
      <c r="E14" s="88">
        <v>6.7699999999999996E-2</v>
      </c>
      <c r="F14" s="24">
        <f>'Reparto economico'!L11*$C$2/100</f>
        <v>160</v>
      </c>
      <c r="G14" s="59">
        <f t="shared" si="0"/>
        <v>160</v>
      </c>
      <c r="H14" s="60">
        <f t="shared" si="1"/>
        <v>23.503999999999998</v>
      </c>
      <c r="I14" s="60">
        <f t="shared" si="3"/>
        <v>193.76940500000001</v>
      </c>
      <c r="J14" s="89">
        <f t="shared" si="2"/>
        <v>0.19376940500000001</v>
      </c>
      <c r="K14" s="31"/>
    </row>
    <row r="15" spans="1:11">
      <c r="A15" s="90" t="s">
        <v>64</v>
      </c>
      <c r="B15" s="87">
        <v>178.64</v>
      </c>
      <c r="C15" s="87">
        <v>0</v>
      </c>
      <c r="D15" s="88">
        <v>0.1736</v>
      </c>
      <c r="E15" s="88">
        <v>7.4700000000000003E-2</v>
      </c>
      <c r="F15" s="24">
        <f>'Reparto economico'!L12*$C$2/100</f>
        <v>130</v>
      </c>
      <c r="G15" s="59">
        <f t="shared" si="0"/>
        <v>130</v>
      </c>
      <c r="H15" s="60">
        <f t="shared" si="1"/>
        <v>18.568000000000001</v>
      </c>
      <c r="I15" s="60">
        <f t="shared" si="3"/>
        <v>212.33740500000002</v>
      </c>
      <c r="J15" s="89">
        <f t="shared" si="2"/>
        <v>0.21233740500000001</v>
      </c>
      <c r="K15" s="31"/>
    </row>
    <row r="16" spans="1:11">
      <c r="A16" s="90" t="s">
        <v>65</v>
      </c>
      <c r="B16" s="87">
        <v>138.59</v>
      </c>
      <c r="C16" s="87">
        <v>0</v>
      </c>
      <c r="D16" s="88">
        <v>0.19900000000000001</v>
      </c>
      <c r="E16" s="88">
        <v>4.4999999999999998E-2</v>
      </c>
      <c r="F16" s="24">
        <f>'Reparto economico'!L13*$C$2/100</f>
        <v>90</v>
      </c>
      <c r="G16" s="59">
        <f t="shared" si="0"/>
        <v>90</v>
      </c>
      <c r="H16" s="60">
        <f t="shared" si="1"/>
        <v>13.91</v>
      </c>
      <c r="I16" s="60">
        <f t="shared" si="3"/>
        <v>226.24740500000001</v>
      </c>
      <c r="J16" s="89">
        <f t="shared" si="2"/>
        <v>0.22624740500000001</v>
      </c>
      <c r="K16" s="31"/>
    </row>
    <row r="17" spans="1:11">
      <c r="A17" s="107" t="s">
        <v>66</v>
      </c>
      <c r="B17" s="108">
        <v>157.26</v>
      </c>
      <c r="C17" s="108">
        <v>0</v>
      </c>
      <c r="D17" s="109">
        <v>0.18959999999999999</v>
      </c>
      <c r="E17" s="109">
        <v>4.36E-2</v>
      </c>
      <c r="F17" s="110">
        <f>'Reparto economico'!L14*$C$2/100</f>
        <v>70</v>
      </c>
      <c r="G17" s="111">
        <f t="shared" si="0"/>
        <v>70</v>
      </c>
      <c r="H17" s="112">
        <f t="shared" si="1"/>
        <v>9.2719999999999985</v>
      </c>
      <c r="I17" s="112">
        <f t="shared" si="3"/>
        <v>235.51940500000001</v>
      </c>
      <c r="J17" s="113">
        <f t="shared" si="2"/>
        <v>0.23551940500000001</v>
      </c>
      <c r="K17" s="31"/>
    </row>
    <row r="18" spans="1:11">
      <c r="A18" s="91" t="s">
        <v>8</v>
      </c>
      <c r="B18" s="66">
        <f t="shared" ref="B18:C18" si="4">SUM(B2:B17)</f>
        <v>1924.21</v>
      </c>
      <c r="C18" s="66">
        <f t="shared" si="4"/>
        <v>190.51</v>
      </c>
      <c r="D18" s="65" t="s">
        <v>107</v>
      </c>
      <c r="E18" s="65" t="s">
        <v>107</v>
      </c>
      <c r="F18" s="66">
        <f t="shared" ref="F18:I18" si="5">SUM(F2:F17)</f>
        <v>1680</v>
      </c>
      <c r="G18" s="66">
        <f t="shared" si="5"/>
        <v>1494.49</v>
      </c>
      <c r="H18" s="66">
        <f t="shared" si="5"/>
        <v>235.51940500000001</v>
      </c>
      <c r="I18" s="66">
        <f t="shared" si="5"/>
        <v>1523.377154</v>
      </c>
      <c r="J18" s="92">
        <f>J17</f>
        <v>0.23551940500000001</v>
      </c>
      <c r="K18" s="106"/>
    </row>
    <row r="19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">
    <mergeCell ref="B4:E4"/>
  </mergeCells>
  <pageMargins left="0.75" right="0.75" top="1" bottom="1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9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11" width="8.7109375" customWidth="1"/>
  </cols>
  <sheetData>
    <row r="1" spans="1:11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31"/>
      <c r="G1" s="31"/>
      <c r="H1" s="31"/>
      <c r="I1" s="31"/>
      <c r="J1" s="31"/>
      <c r="K1" s="31"/>
    </row>
    <row r="2" spans="1:11">
      <c r="A2" s="76">
        <f>Socios!A7</f>
        <v>6</v>
      </c>
      <c r="B2" s="76" t="str">
        <f>Socios!B7</f>
        <v>Blanca</v>
      </c>
      <c r="C2" s="76">
        <f>Socios!C7</f>
        <v>10</v>
      </c>
      <c r="D2" s="76">
        <f>Socios!D7</f>
        <v>2000</v>
      </c>
      <c r="E2" s="77">
        <f>Socios!E7</f>
        <v>8</v>
      </c>
      <c r="F2" s="31"/>
      <c r="G2" s="31"/>
      <c r="H2" s="31"/>
      <c r="I2" s="31"/>
      <c r="J2" s="31"/>
      <c r="K2" s="31"/>
    </row>
    <row r="3" spans="1:11">
      <c r="A3" s="78"/>
      <c r="B3" s="31"/>
      <c r="C3" s="31"/>
      <c r="D3" s="78"/>
      <c r="E3" s="78"/>
      <c r="F3" s="31"/>
      <c r="G3" s="31"/>
      <c r="H3" s="31"/>
      <c r="I3" s="31"/>
      <c r="J3" s="31"/>
      <c r="K3" s="31"/>
    </row>
    <row r="4" spans="1:11">
      <c r="A4" s="31"/>
      <c r="B4" s="198" t="s">
        <v>101</v>
      </c>
      <c r="C4" s="180"/>
      <c r="D4" s="180"/>
      <c r="E4" s="181"/>
      <c r="F4" s="31"/>
      <c r="G4" s="31"/>
      <c r="H4" s="31"/>
      <c r="I4" s="31"/>
      <c r="J4" s="31"/>
      <c r="K4" s="31"/>
    </row>
    <row r="5" spans="1:11">
      <c r="A5" s="93" t="s">
        <v>43</v>
      </c>
      <c r="B5" s="94" t="s">
        <v>102</v>
      </c>
      <c r="C5" s="94" t="s">
        <v>103</v>
      </c>
      <c r="D5" s="94" t="s">
        <v>104</v>
      </c>
      <c r="E5" s="94" t="s">
        <v>105</v>
      </c>
      <c r="F5" s="94" t="s">
        <v>77</v>
      </c>
      <c r="G5" s="94" t="s">
        <v>79</v>
      </c>
      <c r="H5" s="94" t="s">
        <v>80</v>
      </c>
      <c r="I5" s="94" t="s">
        <v>106</v>
      </c>
      <c r="J5" s="95" t="s">
        <v>82</v>
      </c>
      <c r="K5" s="31"/>
    </row>
    <row r="6" spans="1:11">
      <c r="A6" s="86" t="s">
        <v>53</v>
      </c>
      <c r="B6" s="87">
        <v>285.95999999999998</v>
      </c>
      <c r="C6" s="87">
        <v>0</v>
      </c>
      <c r="D6" s="88">
        <v>0.16869999999999999</v>
      </c>
      <c r="E6" s="88">
        <v>6.4699999999999994E-2</v>
      </c>
      <c r="F6" s="24">
        <f>'Reparto economico'!L3*$C$2/100</f>
        <v>160</v>
      </c>
      <c r="G6" s="59">
        <f t="shared" ref="G6:G17" si="0">F6-C6</f>
        <v>160</v>
      </c>
      <c r="H6" s="60">
        <f t="shared" ref="H6:H17" si="1">(G6*D6+C6*E6)-$E$2</f>
        <v>18.991999999999997</v>
      </c>
      <c r="I6" s="60">
        <f>H6</f>
        <v>18.991999999999997</v>
      </c>
      <c r="J6" s="89">
        <f t="shared" ref="J6:J17" si="2">I6/$D$2</f>
        <v>9.4959999999999992E-3</v>
      </c>
      <c r="K6" s="31"/>
    </row>
    <row r="7" spans="1:11">
      <c r="A7" s="86" t="s">
        <v>55</v>
      </c>
      <c r="B7" s="87">
        <v>333.06</v>
      </c>
      <c r="C7" s="87">
        <v>0</v>
      </c>
      <c r="D7" s="88">
        <v>0.15570000000000001</v>
      </c>
      <c r="E7" s="88">
        <v>6.2700000000000006E-2</v>
      </c>
      <c r="F7" s="24">
        <f>'Reparto economico'!L4*$C$2/100</f>
        <v>200</v>
      </c>
      <c r="G7" s="59">
        <f t="shared" si="0"/>
        <v>200</v>
      </c>
      <c r="H7" s="60">
        <f t="shared" si="1"/>
        <v>23.14</v>
      </c>
      <c r="I7" s="60">
        <f t="shared" ref="I7:I17" si="3">H7+I6</f>
        <v>42.131999999999998</v>
      </c>
      <c r="J7" s="89">
        <f t="shared" si="2"/>
        <v>2.1065999999999998E-2</v>
      </c>
      <c r="K7" s="31"/>
    </row>
    <row r="8" spans="1:11">
      <c r="A8" s="86" t="s">
        <v>56</v>
      </c>
      <c r="B8" s="87">
        <v>337.12</v>
      </c>
      <c r="C8" s="87">
        <v>0</v>
      </c>
      <c r="D8" s="88">
        <v>0.17100000000000001</v>
      </c>
      <c r="E8" s="88">
        <v>7.8299999999999995E-2</v>
      </c>
      <c r="F8" s="24">
        <f>'Reparto economico'!L5*$C$2/100</f>
        <v>280</v>
      </c>
      <c r="G8" s="59">
        <f t="shared" si="0"/>
        <v>280</v>
      </c>
      <c r="H8" s="60">
        <f t="shared" si="1"/>
        <v>39.880000000000003</v>
      </c>
      <c r="I8" s="60">
        <f t="shared" si="3"/>
        <v>82.012</v>
      </c>
      <c r="J8" s="89">
        <f t="shared" si="2"/>
        <v>4.1006000000000001E-2</v>
      </c>
      <c r="K8" s="31"/>
    </row>
    <row r="9" spans="1:11">
      <c r="A9" s="86" t="s">
        <v>57</v>
      </c>
      <c r="B9" s="87">
        <v>355.75</v>
      </c>
      <c r="C9" s="87">
        <v>0</v>
      </c>
      <c r="D9" s="88">
        <v>0.15790000000000001</v>
      </c>
      <c r="E9" s="88">
        <v>4.6899999999999997E-2</v>
      </c>
      <c r="F9" s="24">
        <f>'Reparto economico'!L6*$C$2/100</f>
        <v>320</v>
      </c>
      <c r="G9" s="59">
        <f t="shared" si="0"/>
        <v>320</v>
      </c>
      <c r="H9" s="60">
        <f t="shared" si="1"/>
        <v>42.528000000000006</v>
      </c>
      <c r="I9" s="60">
        <f t="shared" si="3"/>
        <v>124.54</v>
      </c>
      <c r="J9" s="89">
        <f t="shared" si="2"/>
        <v>6.2270000000000006E-2</v>
      </c>
      <c r="K9" s="31"/>
    </row>
    <row r="10" spans="1:11">
      <c r="A10" s="90" t="s">
        <v>58</v>
      </c>
      <c r="B10" s="87">
        <v>258.89</v>
      </c>
      <c r="C10" s="87">
        <v>101.11</v>
      </c>
      <c r="D10" s="88">
        <v>0.16439999999999999</v>
      </c>
      <c r="E10" s="88">
        <v>6.1899999999999997E-2</v>
      </c>
      <c r="F10" s="24">
        <f>'Reparto economico'!L7*$C$2/100</f>
        <v>360</v>
      </c>
      <c r="G10" s="59">
        <f t="shared" si="0"/>
        <v>258.89</v>
      </c>
      <c r="H10" s="60">
        <f t="shared" si="1"/>
        <v>40.820224999999994</v>
      </c>
      <c r="I10" s="60">
        <f t="shared" si="3"/>
        <v>165.36022500000001</v>
      </c>
      <c r="J10" s="89">
        <f t="shared" si="2"/>
        <v>8.2680112500000014E-2</v>
      </c>
      <c r="K10" s="31"/>
    </row>
    <row r="11" spans="1:11">
      <c r="A11" s="90" t="s">
        <v>59</v>
      </c>
      <c r="B11" s="87">
        <v>392.66</v>
      </c>
      <c r="C11" s="87">
        <v>0</v>
      </c>
      <c r="D11" s="88">
        <v>0.19750000000000001</v>
      </c>
      <c r="E11" s="88">
        <v>7.9000000000000001E-2</v>
      </c>
      <c r="F11" s="24">
        <f>'Reparto economico'!L8*$C$2/100</f>
        <v>360</v>
      </c>
      <c r="G11" s="59">
        <f t="shared" si="0"/>
        <v>360</v>
      </c>
      <c r="H11" s="60">
        <f t="shared" si="1"/>
        <v>63.100000000000009</v>
      </c>
      <c r="I11" s="60">
        <f t="shared" si="3"/>
        <v>228.46022500000004</v>
      </c>
      <c r="J11" s="89">
        <f t="shared" si="2"/>
        <v>0.11423011250000002</v>
      </c>
      <c r="K11" s="31"/>
    </row>
    <row r="12" spans="1:11">
      <c r="A12" s="90" t="s">
        <v>60</v>
      </c>
      <c r="B12" s="87">
        <v>211.09</v>
      </c>
      <c r="C12" s="87">
        <v>188.91</v>
      </c>
      <c r="D12" s="88">
        <v>0.1646</v>
      </c>
      <c r="E12" s="88">
        <v>5.7000000000000002E-2</v>
      </c>
      <c r="F12" s="24">
        <f>'Reparto economico'!L9*$C$2/100</f>
        <v>400</v>
      </c>
      <c r="G12" s="59">
        <f t="shared" si="0"/>
        <v>211.09</v>
      </c>
      <c r="H12" s="60">
        <f t="shared" si="1"/>
        <v>37.513283999999999</v>
      </c>
      <c r="I12" s="60">
        <f t="shared" si="3"/>
        <v>265.97350900000004</v>
      </c>
      <c r="J12" s="89">
        <f t="shared" si="2"/>
        <v>0.13298675450000003</v>
      </c>
      <c r="K12" s="31"/>
    </row>
    <row r="13" spans="1:11">
      <c r="A13" s="90" t="s">
        <v>62</v>
      </c>
      <c r="B13" s="87">
        <v>204.04</v>
      </c>
      <c r="C13" s="87">
        <v>175.96</v>
      </c>
      <c r="D13" s="88">
        <v>0.19220000000000001</v>
      </c>
      <c r="E13" s="88">
        <v>5.1200000000000002E-2</v>
      </c>
      <c r="F13" s="24">
        <f>'Reparto economico'!L10*$C$2/100</f>
        <v>380</v>
      </c>
      <c r="G13" s="59">
        <f t="shared" si="0"/>
        <v>204.04</v>
      </c>
      <c r="H13" s="60">
        <f t="shared" si="1"/>
        <v>40.225639999999999</v>
      </c>
      <c r="I13" s="60">
        <f t="shared" si="3"/>
        <v>306.19914900000003</v>
      </c>
      <c r="J13" s="89">
        <f t="shared" si="2"/>
        <v>0.15309957450000003</v>
      </c>
      <c r="K13" s="31"/>
    </row>
    <row r="14" spans="1:11">
      <c r="A14" s="90" t="s">
        <v>63</v>
      </c>
      <c r="B14" s="87">
        <v>250.86</v>
      </c>
      <c r="C14" s="87">
        <v>69.14</v>
      </c>
      <c r="D14" s="88">
        <v>0.17319999999999999</v>
      </c>
      <c r="E14" s="88">
        <v>4.8300000000000003E-2</v>
      </c>
      <c r="F14" s="24">
        <f>'Reparto economico'!L11*$C$2/100</f>
        <v>320</v>
      </c>
      <c r="G14" s="59">
        <f t="shared" si="0"/>
        <v>250.86</v>
      </c>
      <c r="H14" s="60">
        <f t="shared" si="1"/>
        <v>38.788413999999996</v>
      </c>
      <c r="I14" s="60">
        <f t="shared" si="3"/>
        <v>344.98756300000002</v>
      </c>
      <c r="J14" s="89">
        <f t="shared" si="2"/>
        <v>0.1724937815</v>
      </c>
      <c r="K14" s="31"/>
    </row>
    <row r="15" spans="1:11">
      <c r="A15" s="90" t="s">
        <v>64</v>
      </c>
      <c r="B15" s="87">
        <v>347.6</v>
      </c>
      <c r="C15" s="87">
        <v>0</v>
      </c>
      <c r="D15" s="88">
        <v>0.1767</v>
      </c>
      <c r="E15" s="88">
        <v>4.5400000000000003E-2</v>
      </c>
      <c r="F15" s="24">
        <f>'Reparto economico'!L12*$C$2/100</f>
        <v>260</v>
      </c>
      <c r="G15" s="59">
        <f t="shared" si="0"/>
        <v>260</v>
      </c>
      <c r="H15" s="60">
        <f t="shared" si="1"/>
        <v>37.942</v>
      </c>
      <c r="I15" s="60">
        <f t="shared" si="3"/>
        <v>382.92956300000003</v>
      </c>
      <c r="J15" s="89">
        <f t="shared" si="2"/>
        <v>0.19146478150000001</v>
      </c>
      <c r="K15" s="31"/>
    </row>
    <row r="16" spans="1:11">
      <c r="A16" s="90" t="s">
        <v>65</v>
      </c>
      <c r="B16" s="87">
        <v>255.99</v>
      </c>
      <c r="C16" s="87">
        <v>0</v>
      </c>
      <c r="D16" s="88">
        <v>0.16839999999999999</v>
      </c>
      <c r="E16" s="88">
        <v>6.2E-2</v>
      </c>
      <c r="F16" s="24">
        <f>'Reparto economico'!L13*$C$2/100</f>
        <v>180</v>
      </c>
      <c r="G16" s="59">
        <f t="shared" si="0"/>
        <v>180</v>
      </c>
      <c r="H16" s="60">
        <f t="shared" si="1"/>
        <v>22.311999999999998</v>
      </c>
      <c r="I16" s="60">
        <f t="shared" si="3"/>
        <v>405.24156300000004</v>
      </c>
      <c r="J16" s="89">
        <f t="shared" si="2"/>
        <v>0.20262078150000001</v>
      </c>
      <c r="K16" s="31"/>
    </row>
    <row r="17" spans="1:11">
      <c r="A17" s="90" t="s">
        <v>66</v>
      </c>
      <c r="B17" s="87">
        <v>251.09</v>
      </c>
      <c r="C17" s="87">
        <v>0</v>
      </c>
      <c r="D17" s="88">
        <v>0.15409999999999999</v>
      </c>
      <c r="E17" s="88">
        <v>6.4100000000000004E-2</v>
      </c>
      <c r="F17" s="24">
        <f>'Reparto economico'!L14*$C$2/100</f>
        <v>140</v>
      </c>
      <c r="G17" s="59">
        <f t="shared" si="0"/>
        <v>140</v>
      </c>
      <c r="H17" s="60">
        <f t="shared" si="1"/>
        <v>13.573999999999998</v>
      </c>
      <c r="I17" s="60">
        <f t="shared" si="3"/>
        <v>418.81556300000005</v>
      </c>
      <c r="J17" s="89">
        <f t="shared" si="2"/>
        <v>0.20940778150000003</v>
      </c>
      <c r="K17" s="31"/>
    </row>
    <row r="18" spans="1:11">
      <c r="A18" s="91" t="s">
        <v>8</v>
      </c>
      <c r="B18" s="66">
        <f t="shared" ref="B18:C18" si="4">SUM(B2:B17)</f>
        <v>3484.1099999999997</v>
      </c>
      <c r="C18" s="66">
        <f t="shared" si="4"/>
        <v>545.12</v>
      </c>
      <c r="D18" s="65" t="s">
        <v>107</v>
      </c>
      <c r="E18" s="65" t="s">
        <v>107</v>
      </c>
      <c r="F18" s="66">
        <f t="shared" ref="F18:I18" si="5">SUM(F2:F17)</f>
        <v>3360</v>
      </c>
      <c r="G18" s="66">
        <f t="shared" si="5"/>
        <v>2824.8799999999997</v>
      </c>
      <c r="H18" s="66">
        <f t="shared" si="5"/>
        <v>418.81556300000005</v>
      </c>
      <c r="I18" s="66">
        <f t="shared" si="5"/>
        <v>2785.6433600000005</v>
      </c>
      <c r="J18" s="92">
        <f>J17</f>
        <v>0.20940778150000003</v>
      </c>
      <c r="K18" s="31"/>
    </row>
    <row r="19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">
    <mergeCell ref="B4:E4"/>
  </mergeCells>
  <pageMargins left="0.75" right="0.75" top="1" bottom="1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9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8" width="5.57031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20" width="8.7109375" customWidth="1"/>
  </cols>
  <sheetData>
    <row r="1" spans="1:19">
      <c r="A1" s="114" t="s">
        <v>20</v>
      </c>
      <c r="B1" s="115" t="s">
        <v>21</v>
      </c>
      <c r="C1" s="115" t="s">
        <v>22</v>
      </c>
      <c r="D1" s="115" t="s">
        <v>100</v>
      </c>
      <c r="E1" s="116" t="s">
        <v>24</v>
      </c>
      <c r="F1" s="27"/>
      <c r="G1" s="27"/>
      <c r="H1" s="27"/>
      <c r="I1" s="27"/>
    </row>
    <row r="2" spans="1:19">
      <c r="A2" s="117">
        <f>Socios!A8</f>
        <v>7</v>
      </c>
      <c r="B2" s="117" t="str">
        <f>Socios!B8</f>
        <v>Laura</v>
      </c>
      <c r="C2" s="117">
        <f>Socios!C8</f>
        <v>15</v>
      </c>
      <c r="D2" s="117">
        <f>Socios!D8</f>
        <v>3000</v>
      </c>
      <c r="E2" s="118">
        <f>Socios!E8</f>
        <v>12</v>
      </c>
      <c r="F2" s="27"/>
      <c r="G2" s="27"/>
      <c r="H2" s="27"/>
      <c r="I2" s="27"/>
    </row>
    <row r="3" spans="1:19">
      <c r="A3" s="119"/>
      <c r="B3" s="53"/>
      <c r="C3" s="53"/>
      <c r="D3" s="119"/>
      <c r="E3" s="119"/>
      <c r="F3" s="27"/>
      <c r="G3" s="27"/>
      <c r="H3" s="27"/>
      <c r="I3" s="27"/>
    </row>
    <row r="4" spans="1:19">
      <c r="B4" s="198" t="s">
        <v>101</v>
      </c>
      <c r="C4" s="180"/>
      <c r="D4" s="180"/>
      <c r="E4" s="180"/>
      <c r="F4" s="180"/>
      <c r="G4" s="180"/>
      <c r="H4" s="180"/>
      <c r="I4" s="181"/>
    </row>
    <row r="5" spans="1:19">
      <c r="A5" s="114" t="s">
        <v>43</v>
      </c>
      <c r="B5" s="199" t="s">
        <v>102</v>
      </c>
      <c r="C5" s="200"/>
      <c r="D5" s="200"/>
      <c r="E5" s="204" t="s">
        <v>103</v>
      </c>
      <c r="F5" s="206" t="s">
        <v>104</v>
      </c>
      <c r="G5" s="200"/>
      <c r="H5" s="200"/>
      <c r="I5" s="204" t="s">
        <v>105</v>
      </c>
      <c r="J5" s="115" t="s">
        <v>77</v>
      </c>
      <c r="K5" s="115" t="s">
        <v>79</v>
      </c>
      <c r="L5" s="120"/>
      <c r="M5" s="120"/>
      <c r="N5" s="120"/>
      <c r="O5" s="120" t="s">
        <v>108</v>
      </c>
      <c r="P5" s="115" t="s">
        <v>109</v>
      </c>
      <c r="Q5" s="115" t="s">
        <v>80</v>
      </c>
      <c r="R5" s="115" t="s">
        <v>106</v>
      </c>
      <c r="S5" s="116" t="s">
        <v>82</v>
      </c>
    </row>
    <row r="6" spans="1:19">
      <c r="A6" s="121"/>
      <c r="B6" s="122" t="s">
        <v>110</v>
      </c>
      <c r="C6" s="122" t="s">
        <v>111</v>
      </c>
      <c r="D6" s="122" t="s">
        <v>112</v>
      </c>
      <c r="E6" s="205"/>
      <c r="F6" s="122" t="s">
        <v>110</v>
      </c>
      <c r="G6" s="122" t="s">
        <v>111</v>
      </c>
      <c r="H6" s="122" t="s">
        <v>112</v>
      </c>
      <c r="I6" s="205"/>
      <c r="J6" s="122" t="s">
        <v>113</v>
      </c>
      <c r="K6" s="122" t="s">
        <v>113</v>
      </c>
      <c r="L6" s="122" t="s">
        <v>110</v>
      </c>
      <c r="M6" s="122" t="s">
        <v>111</v>
      </c>
      <c r="N6" s="122" t="s">
        <v>112</v>
      </c>
      <c r="O6" s="123"/>
      <c r="P6" s="122"/>
      <c r="Q6" s="122"/>
      <c r="R6" s="122"/>
      <c r="S6" s="124"/>
    </row>
    <row r="7" spans="1:19">
      <c r="A7" s="125" t="s">
        <v>53</v>
      </c>
      <c r="B7" s="126">
        <v>221.69</v>
      </c>
      <c r="C7" s="126">
        <v>237.21</v>
      </c>
      <c r="D7" s="126">
        <v>207.68</v>
      </c>
      <c r="E7" s="127">
        <v>0</v>
      </c>
      <c r="F7" s="128">
        <v>0.153</v>
      </c>
      <c r="G7" s="128">
        <v>0.1915</v>
      </c>
      <c r="H7" s="128">
        <v>0.1797</v>
      </c>
      <c r="I7" s="128">
        <v>7.1400000000000005E-2</v>
      </c>
      <c r="J7" s="129">
        <f>'Reparto economico'!L3*$C$2/100</f>
        <v>240</v>
      </c>
      <c r="K7" s="130">
        <f t="shared" ref="K7:K18" si="0">J7-E7</f>
        <v>240</v>
      </c>
      <c r="L7" s="130">
        <f t="shared" ref="L7:L18" si="1">K7*0.29</f>
        <v>69.599999999999994</v>
      </c>
      <c r="M7" s="130">
        <f t="shared" ref="M7:M18" si="2">K7*0.44</f>
        <v>105.6</v>
      </c>
      <c r="N7" s="130">
        <f t="shared" ref="N7:N18" si="3">K7*0.27</f>
        <v>64.800000000000011</v>
      </c>
      <c r="O7" s="131">
        <f t="shared" ref="O7:O18" si="4">L7*F7+M7*G7+N7*H7</f>
        <v>42.51576</v>
      </c>
      <c r="P7" s="131">
        <f t="shared" ref="P7:P18" si="5">E7*I7</f>
        <v>0</v>
      </c>
      <c r="Q7" s="131">
        <f t="shared" ref="Q7:Q18" si="6">O7+P7-$E$2</f>
        <v>30.51576</v>
      </c>
      <c r="R7" s="131">
        <f>Q7</f>
        <v>30.51576</v>
      </c>
      <c r="S7" s="132">
        <f t="shared" ref="S7:S18" si="7">R7/$D$2</f>
        <v>1.0171919999999999E-2</v>
      </c>
    </row>
    <row r="8" spans="1:19">
      <c r="A8" s="133" t="s">
        <v>55</v>
      </c>
      <c r="B8" s="134">
        <v>178.94</v>
      </c>
      <c r="C8" s="134">
        <v>196.32</v>
      </c>
      <c r="D8" s="134">
        <v>188.36</v>
      </c>
      <c r="E8" s="135">
        <v>0</v>
      </c>
      <c r="F8" s="136">
        <v>0.15340000000000001</v>
      </c>
      <c r="G8" s="136">
        <v>0.18149999999999999</v>
      </c>
      <c r="H8" s="136">
        <v>0.16209999999999999</v>
      </c>
      <c r="I8" s="136">
        <v>6.7400000000000002E-2</v>
      </c>
      <c r="J8" s="137">
        <f>'Reparto economico'!L4*$C$2/100</f>
        <v>300</v>
      </c>
      <c r="K8" s="138">
        <f t="shared" si="0"/>
        <v>300</v>
      </c>
      <c r="L8" s="138">
        <f t="shared" si="1"/>
        <v>87</v>
      </c>
      <c r="M8" s="138">
        <f t="shared" si="2"/>
        <v>132</v>
      </c>
      <c r="N8" s="138">
        <f t="shared" si="3"/>
        <v>81</v>
      </c>
      <c r="O8" s="139">
        <f t="shared" si="4"/>
        <v>50.433899999999994</v>
      </c>
      <c r="P8" s="139">
        <f t="shared" si="5"/>
        <v>0</v>
      </c>
      <c r="Q8" s="139">
        <f t="shared" si="6"/>
        <v>38.433899999999994</v>
      </c>
      <c r="R8" s="139">
        <f t="shared" ref="R8:R18" si="8">Q8+R7</f>
        <v>68.949659999999994</v>
      </c>
      <c r="S8" s="140">
        <f t="shared" si="7"/>
        <v>2.2983219999999999E-2</v>
      </c>
    </row>
    <row r="9" spans="1:19">
      <c r="A9" s="133" t="s">
        <v>56</v>
      </c>
      <c r="B9" s="134">
        <v>231.55</v>
      </c>
      <c r="C9" s="134">
        <v>170.85</v>
      </c>
      <c r="D9" s="134">
        <v>216.23</v>
      </c>
      <c r="E9" s="135">
        <v>0</v>
      </c>
      <c r="F9" s="136">
        <v>0.161</v>
      </c>
      <c r="G9" s="136">
        <v>0.1797</v>
      </c>
      <c r="H9" s="136">
        <v>0.16969999999999999</v>
      </c>
      <c r="I9" s="136">
        <v>7.6600000000000001E-2</v>
      </c>
      <c r="J9" s="137">
        <f>'Reparto economico'!L5*$C$2/100</f>
        <v>420</v>
      </c>
      <c r="K9" s="138">
        <f t="shared" si="0"/>
        <v>420</v>
      </c>
      <c r="L9" s="138">
        <f t="shared" si="1"/>
        <v>121.8</v>
      </c>
      <c r="M9" s="138">
        <f t="shared" si="2"/>
        <v>184.8</v>
      </c>
      <c r="N9" s="138">
        <f t="shared" si="3"/>
        <v>113.4</v>
      </c>
      <c r="O9" s="139">
        <f t="shared" si="4"/>
        <v>72.062340000000006</v>
      </c>
      <c r="P9" s="139">
        <f t="shared" si="5"/>
        <v>0</v>
      </c>
      <c r="Q9" s="139">
        <f t="shared" si="6"/>
        <v>60.062340000000006</v>
      </c>
      <c r="R9" s="139">
        <f t="shared" si="8"/>
        <v>129.012</v>
      </c>
      <c r="S9" s="140">
        <f t="shared" si="7"/>
        <v>4.3004000000000001E-2</v>
      </c>
    </row>
    <row r="10" spans="1:19">
      <c r="A10" s="133" t="s">
        <v>57</v>
      </c>
      <c r="B10" s="134">
        <v>143.57</v>
      </c>
      <c r="C10" s="134">
        <v>274.70999999999998</v>
      </c>
      <c r="D10" s="134">
        <v>133.72</v>
      </c>
      <c r="E10" s="135">
        <v>0</v>
      </c>
      <c r="F10" s="136">
        <v>0.19089999999999999</v>
      </c>
      <c r="G10" s="136">
        <v>0.16039999999999999</v>
      </c>
      <c r="H10" s="136">
        <v>0.16300000000000001</v>
      </c>
      <c r="I10" s="136">
        <v>4.1700000000000001E-2</v>
      </c>
      <c r="J10" s="137">
        <f>'Reparto economico'!L6*$C$2/100</f>
        <v>480</v>
      </c>
      <c r="K10" s="138">
        <f t="shared" si="0"/>
        <v>480</v>
      </c>
      <c r="L10" s="138">
        <f t="shared" si="1"/>
        <v>139.19999999999999</v>
      </c>
      <c r="M10" s="138">
        <f t="shared" si="2"/>
        <v>211.2</v>
      </c>
      <c r="N10" s="138">
        <f t="shared" si="3"/>
        <v>129.60000000000002</v>
      </c>
      <c r="O10" s="139">
        <f t="shared" si="4"/>
        <v>81.574559999999991</v>
      </c>
      <c r="P10" s="139">
        <f t="shared" si="5"/>
        <v>0</v>
      </c>
      <c r="Q10" s="139">
        <f t="shared" si="6"/>
        <v>69.574559999999991</v>
      </c>
      <c r="R10" s="139">
        <f t="shared" si="8"/>
        <v>198.58655999999999</v>
      </c>
      <c r="S10" s="140">
        <f t="shared" si="7"/>
        <v>6.6195519999999994E-2</v>
      </c>
    </row>
    <row r="11" spans="1:19">
      <c r="A11" s="141" t="s">
        <v>58</v>
      </c>
      <c r="B11" s="134">
        <v>214.9</v>
      </c>
      <c r="C11" s="134">
        <v>312.02999999999997</v>
      </c>
      <c r="D11" s="134">
        <v>168.73</v>
      </c>
      <c r="E11" s="135">
        <v>0</v>
      </c>
      <c r="F11" s="136">
        <v>0.17319999999999999</v>
      </c>
      <c r="G11" s="136">
        <v>0.1988</v>
      </c>
      <c r="H11" s="136">
        <v>0.18090000000000001</v>
      </c>
      <c r="I11" s="136">
        <v>6.1800000000000001E-2</v>
      </c>
      <c r="J11" s="137">
        <f>'Reparto economico'!L7*$C$2/100</f>
        <v>540</v>
      </c>
      <c r="K11" s="138">
        <f t="shared" si="0"/>
        <v>540</v>
      </c>
      <c r="L11" s="138">
        <f t="shared" si="1"/>
        <v>156.6</v>
      </c>
      <c r="M11" s="138">
        <f t="shared" si="2"/>
        <v>237.6</v>
      </c>
      <c r="N11" s="138">
        <f t="shared" si="3"/>
        <v>145.80000000000001</v>
      </c>
      <c r="O11" s="139">
        <f t="shared" si="4"/>
        <v>100.73321999999999</v>
      </c>
      <c r="P11" s="139">
        <f t="shared" si="5"/>
        <v>0</v>
      </c>
      <c r="Q11" s="139">
        <f t="shared" si="6"/>
        <v>88.733219999999989</v>
      </c>
      <c r="R11" s="139">
        <f t="shared" si="8"/>
        <v>287.31977999999998</v>
      </c>
      <c r="S11" s="140">
        <f t="shared" si="7"/>
        <v>9.5773259999999999E-2</v>
      </c>
    </row>
    <row r="12" spans="1:19">
      <c r="A12" s="141" t="s">
        <v>59</v>
      </c>
      <c r="B12" s="134">
        <v>196.07</v>
      </c>
      <c r="C12" s="134">
        <v>197.19</v>
      </c>
      <c r="D12" s="134">
        <v>183.63</v>
      </c>
      <c r="E12" s="135">
        <v>0</v>
      </c>
      <c r="F12" s="136">
        <v>0.16850000000000001</v>
      </c>
      <c r="G12" s="136">
        <v>0.19620000000000001</v>
      </c>
      <c r="H12" s="136">
        <v>0.1593</v>
      </c>
      <c r="I12" s="136">
        <v>7.0099999999999996E-2</v>
      </c>
      <c r="J12" s="137">
        <f>'Reparto economico'!L8*$C$2/100</f>
        <v>540</v>
      </c>
      <c r="K12" s="138">
        <f t="shared" si="0"/>
        <v>540</v>
      </c>
      <c r="L12" s="138">
        <f t="shared" si="1"/>
        <v>156.6</v>
      </c>
      <c r="M12" s="138">
        <f t="shared" si="2"/>
        <v>237.6</v>
      </c>
      <c r="N12" s="138">
        <f t="shared" si="3"/>
        <v>145.80000000000001</v>
      </c>
      <c r="O12" s="139">
        <f t="shared" si="4"/>
        <v>96.230160000000012</v>
      </c>
      <c r="P12" s="139">
        <f t="shared" si="5"/>
        <v>0</v>
      </c>
      <c r="Q12" s="139">
        <f t="shared" si="6"/>
        <v>84.230160000000012</v>
      </c>
      <c r="R12" s="139">
        <f t="shared" si="8"/>
        <v>371.54993999999999</v>
      </c>
      <c r="S12" s="140">
        <f t="shared" si="7"/>
        <v>0.12384998</v>
      </c>
    </row>
    <row r="13" spans="1:19">
      <c r="A13" s="141" t="s">
        <v>60</v>
      </c>
      <c r="B13" s="134">
        <v>147.11000000000001</v>
      </c>
      <c r="C13" s="134">
        <v>263.83999999999997</v>
      </c>
      <c r="D13" s="134">
        <v>236.01</v>
      </c>
      <c r="E13" s="135">
        <v>0</v>
      </c>
      <c r="F13" s="136">
        <v>0.19259999999999999</v>
      </c>
      <c r="G13" s="136">
        <v>0.17080000000000001</v>
      </c>
      <c r="H13" s="136">
        <v>0.1595</v>
      </c>
      <c r="I13" s="136">
        <v>7.6600000000000001E-2</v>
      </c>
      <c r="J13" s="137">
        <f>'Reparto economico'!L9*$C$2/100</f>
        <v>600</v>
      </c>
      <c r="K13" s="138">
        <f t="shared" si="0"/>
        <v>600</v>
      </c>
      <c r="L13" s="138">
        <f t="shared" si="1"/>
        <v>174</v>
      </c>
      <c r="M13" s="138">
        <f t="shared" si="2"/>
        <v>264</v>
      </c>
      <c r="N13" s="138">
        <f t="shared" si="3"/>
        <v>162</v>
      </c>
      <c r="O13" s="139">
        <f t="shared" si="4"/>
        <v>104.4426</v>
      </c>
      <c r="P13" s="139">
        <f t="shared" si="5"/>
        <v>0</v>
      </c>
      <c r="Q13" s="139">
        <f t="shared" si="6"/>
        <v>92.442599999999999</v>
      </c>
      <c r="R13" s="139">
        <f t="shared" si="8"/>
        <v>463.99253999999996</v>
      </c>
      <c r="S13" s="140">
        <f t="shared" si="7"/>
        <v>0.15466417999999998</v>
      </c>
    </row>
    <row r="14" spans="1:19">
      <c r="A14" s="141" t="s">
        <v>62</v>
      </c>
      <c r="B14" s="134">
        <v>203.93</v>
      </c>
      <c r="C14" s="134">
        <v>245.8</v>
      </c>
      <c r="D14" s="134">
        <v>150.13</v>
      </c>
      <c r="E14" s="135">
        <v>0</v>
      </c>
      <c r="F14" s="136">
        <v>0.1734</v>
      </c>
      <c r="G14" s="136">
        <v>0.1993</v>
      </c>
      <c r="H14" s="136">
        <v>0.1653</v>
      </c>
      <c r="I14" s="136">
        <v>6.7400000000000002E-2</v>
      </c>
      <c r="J14" s="137">
        <f>'Reparto economico'!L10*$C$2/100</f>
        <v>570</v>
      </c>
      <c r="K14" s="138">
        <f t="shared" si="0"/>
        <v>570</v>
      </c>
      <c r="L14" s="138">
        <f t="shared" si="1"/>
        <v>165.29999999999998</v>
      </c>
      <c r="M14" s="138">
        <f t="shared" si="2"/>
        <v>250.8</v>
      </c>
      <c r="N14" s="138">
        <f t="shared" si="3"/>
        <v>153.9</v>
      </c>
      <c r="O14" s="139">
        <f t="shared" si="4"/>
        <v>104.08713</v>
      </c>
      <c r="P14" s="139">
        <f t="shared" si="5"/>
        <v>0</v>
      </c>
      <c r="Q14" s="139">
        <f t="shared" si="6"/>
        <v>92.087130000000002</v>
      </c>
      <c r="R14" s="139">
        <f t="shared" si="8"/>
        <v>556.07966999999996</v>
      </c>
      <c r="S14" s="140">
        <f t="shared" si="7"/>
        <v>0.18535989</v>
      </c>
    </row>
    <row r="15" spans="1:19">
      <c r="A15" s="141" t="s">
        <v>63</v>
      </c>
      <c r="B15" s="134">
        <v>145.76</v>
      </c>
      <c r="C15" s="134">
        <v>189.57</v>
      </c>
      <c r="D15" s="134">
        <v>175.54</v>
      </c>
      <c r="E15" s="135">
        <v>0</v>
      </c>
      <c r="F15" s="136">
        <v>0.15629999999999999</v>
      </c>
      <c r="G15" s="136">
        <v>0.16719999999999999</v>
      </c>
      <c r="H15" s="136">
        <v>0.19470000000000001</v>
      </c>
      <c r="I15" s="136">
        <v>6.7299999999999999E-2</v>
      </c>
      <c r="J15" s="137">
        <f>'Reparto economico'!L11*$C$2/100</f>
        <v>480</v>
      </c>
      <c r="K15" s="138">
        <f t="shared" si="0"/>
        <v>480</v>
      </c>
      <c r="L15" s="138">
        <f t="shared" si="1"/>
        <v>139.19999999999999</v>
      </c>
      <c r="M15" s="138">
        <f t="shared" si="2"/>
        <v>211.2</v>
      </c>
      <c r="N15" s="138">
        <f t="shared" si="3"/>
        <v>129.60000000000002</v>
      </c>
      <c r="O15" s="139">
        <f t="shared" si="4"/>
        <v>82.302719999999994</v>
      </c>
      <c r="P15" s="139">
        <f t="shared" si="5"/>
        <v>0</v>
      </c>
      <c r="Q15" s="139">
        <f t="shared" si="6"/>
        <v>70.302719999999994</v>
      </c>
      <c r="R15" s="139">
        <f t="shared" si="8"/>
        <v>626.38238999999999</v>
      </c>
      <c r="S15" s="140">
        <f t="shared" si="7"/>
        <v>0.20879412999999999</v>
      </c>
    </row>
    <row r="16" spans="1:19">
      <c r="A16" s="141" t="s">
        <v>64</v>
      </c>
      <c r="B16" s="134">
        <v>179.81</v>
      </c>
      <c r="C16" s="134">
        <v>309.35000000000002</v>
      </c>
      <c r="D16" s="134">
        <v>202.52</v>
      </c>
      <c r="E16" s="135">
        <v>0</v>
      </c>
      <c r="F16" s="136">
        <v>0.19109999999999999</v>
      </c>
      <c r="G16" s="136">
        <v>0.1537</v>
      </c>
      <c r="H16" s="136">
        <v>0.18540000000000001</v>
      </c>
      <c r="I16" s="136">
        <v>5.6899999999999999E-2</v>
      </c>
      <c r="J16" s="137">
        <f>'Reparto economico'!L12*$C$2/100</f>
        <v>390</v>
      </c>
      <c r="K16" s="138">
        <f t="shared" si="0"/>
        <v>390</v>
      </c>
      <c r="L16" s="138">
        <f t="shared" si="1"/>
        <v>113.1</v>
      </c>
      <c r="M16" s="138">
        <f t="shared" si="2"/>
        <v>171.6</v>
      </c>
      <c r="N16" s="138">
        <f t="shared" si="3"/>
        <v>105.30000000000001</v>
      </c>
      <c r="O16" s="139">
        <f t="shared" si="4"/>
        <v>67.510950000000008</v>
      </c>
      <c r="P16" s="139">
        <f t="shared" si="5"/>
        <v>0</v>
      </c>
      <c r="Q16" s="139">
        <f t="shared" si="6"/>
        <v>55.510950000000008</v>
      </c>
      <c r="R16" s="139">
        <f t="shared" si="8"/>
        <v>681.89333999999997</v>
      </c>
      <c r="S16" s="140">
        <f t="shared" si="7"/>
        <v>0.22729777999999998</v>
      </c>
    </row>
    <row r="17" spans="1:19">
      <c r="A17" s="141" t="s">
        <v>65</v>
      </c>
      <c r="B17" s="134">
        <v>148.77000000000001</v>
      </c>
      <c r="C17" s="134">
        <v>176.71</v>
      </c>
      <c r="D17" s="134">
        <v>167.23</v>
      </c>
      <c r="E17" s="135">
        <v>0</v>
      </c>
      <c r="F17" s="136">
        <v>0.18559999999999999</v>
      </c>
      <c r="G17" s="136">
        <v>0.19420000000000001</v>
      </c>
      <c r="H17" s="136">
        <v>0.1772</v>
      </c>
      <c r="I17" s="136">
        <v>4.5100000000000001E-2</v>
      </c>
      <c r="J17" s="137">
        <f>'Reparto economico'!L13*$C$2/100</f>
        <v>270</v>
      </c>
      <c r="K17" s="138">
        <f t="shared" si="0"/>
        <v>270</v>
      </c>
      <c r="L17" s="138">
        <f t="shared" si="1"/>
        <v>78.3</v>
      </c>
      <c r="M17" s="138">
        <f t="shared" si="2"/>
        <v>118.8</v>
      </c>
      <c r="N17" s="138">
        <f t="shared" si="3"/>
        <v>72.900000000000006</v>
      </c>
      <c r="O17" s="139">
        <f t="shared" si="4"/>
        <v>50.521320000000003</v>
      </c>
      <c r="P17" s="139">
        <f t="shared" si="5"/>
        <v>0</v>
      </c>
      <c r="Q17" s="139">
        <f t="shared" si="6"/>
        <v>38.521320000000003</v>
      </c>
      <c r="R17" s="139">
        <f t="shared" si="8"/>
        <v>720.41465999999991</v>
      </c>
      <c r="S17" s="140">
        <f t="shared" si="7"/>
        <v>0.24013821999999996</v>
      </c>
    </row>
    <row r="18" spans="1:19">
      <c r="A18" s="142" t="s">
        <v>66</v>
      </c>
      <c r="B18" s="143">
        <v>193.87</v>
      </c>
      <c r="C18" s="143">
        <v>208.26</v>
      </c>
      <c r="D18" s="143">
        <v>226</v>
      </c>
      <c r="E18" s="144">
        <v>0</v>
      </c>
      <c r="F18" s="145">
        <v>0.17449999999999999</v>
      </c>
      <c r="G18" s="145">
        <v>0.18379999999999999</v>
      </c>
      <c r="H18" s="145">
        <v>0.19980000000000001</v>
      </c>
      <c r="I18" s="145">
        <v>5.5500000000000001E-2</v>
      </c>
      <c r="J18" s="146">
        <f>'Reparto economico'!L14*$C$2/100</f>
        <v>210</v>
      </c>
      <c r="K18" s="147">
        <f t="shared" si="0"/>
        <v>210</v>
      </c>
      <c r="L18" s="147">
        <f t="shared" si="1"/>
        <v>60.9</v>
      </c>
      <c r="M18" s="147">
        <f t="shared" si="2"/>
        <v>92.4</v>
      </c>
      <c r="N18" s="147">
        <f t="shared" si="3"/>
        <v>56.7</v>
      </c>
      <c r="O18" s="148">
        <f t="shared" si="4"/>
        <v>38.938829999999996</v>
      </c>
      <c r="P18" s="148">
        <f t="shared" si="5"/>
        <v>0</v>
      </c>
      <c r="Q18" s="148">
        <f t="shared" si="6"/>
        <v>26.938829999999996</v>
      </c>
      <c r="R18" s="148">
        <f t="shared" si="8"/>
        <v>747.35348999999997</v>
      </c>
      <c r="S18" s="149">
        <f t="shared" si="7"/>
        <v>0.24911782999999998</v>
      </c>
    </row>
    <row r="19" spans="1:19">
      <c r="A19" s="150" t="s">
        <v>8</v>
      </c>
      <c r="B19" s="151">
        <f t="shared" ref="B19:E19" si="9">SUM(B4:B18)</f>
        <v>2205.9699999999998</v>
      </c>
      <c r="C19" s="151">
        <f t="shared" si="9"/>
        <v>2781.84</v>
      </c>
      <c r="D19" s="151">
        <f t="shared" si="9"/>
        <v>2255.7799999999997</v>
      </c>
      <c r="E19" s="151">
        <f t="shared" si="9"/>
        <v>0</v>
      </c>
      <c r="F19" s="152" t="s">
        <v>107</v>
      </c>
      <c r="G19" s="152" t="s">
        <v>107</v>
      </c>
      <c r="H19" s="152" t="s">
        <v>107</v>
      </c>
      <c r="I19" s="152" t="s">
        <v>107</v>
      </c>
      <c r="J19" s="151">
        <f t="shared" ref="J19:R19" si="10">SUM(J4:J18)</f>
        <v>5040</v>
      </c>
      <c r="K19" s="151">
        <f t="shared" si="10"/>
        <v>5040</v>
      </c>
      <c r="L19" s="151">
        <f t="shared" si="10"/>
        <v>1461.6</v>
      </c>
      <c r="M19" s="151">
        <f t="shared" si="10"/>
        <v>2217.6</v>
      </c>
      <c r="N19" s="151">
        <f t="shared" si="10"/>
        <v>1360.8000000000002</v>
      </c>
      <c r="O19" s="151">
        <f t="shared" si="10"/>
        <v>891.35348999999997</v>
      </c>
      <c r="P19" s="151">
        <f t="shared" si="10"/>
        <v>0</v>
      </c>
      <c r="Q19" s="151">
        <f t="shared" si="10"/>
        <v>747.35348999999997</v>
      </c>
      <c r="R19" s="151">
        <f t="shared" si="10"/>
        <v>4882.0497899999991</v>
      </c>
      <c r="S19" s="153">
        <f>S18</f>
        <v>0.24911782999999998</v>
      </c>
    </row>
  </sheetData>
  <mergeCells count="5">
    <mergeCell ref="B4:I4"/>
    <mergeCell ref="B5:D5"/>
    <mergeCell ref="E5:E6"/>
    <mergeCell ref="F5:H5"/>
    <mergeCell ref="I5:I6"/>
  </mergeCells>
  <pageMargins left="0.75" right="0.75" top="1" bottom="1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9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11" width="8.7109375" customWidth="1"/>
  </cols>
  <sheetData>
    <row r="1" spans="1:11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31"/>
      <c r="G1" s="31"/>
      <c r="H1" s="31"/>
      <c r="I1" s="31"/>
      <c r="J1" s="31"/>
      <c r="K1" s="31"/>
    </row>
    <row r="2" spans="1:11">
      <c r="A2" s="76">
        <f>Socios!A9</f>
        <v>8</v>
      </c>
      <c r="B2" s="76" t="str">
        <f>Socios!B9</f>
        <v>Ivan</v>
      </c>
      <c r="C2" s="76">
        <f>Socios!C9</f>
        <v>5</v>
      </c>
      <c r="D2" s="76">
        <f>Socios!D9</f>
        <v>1000</v>
      </c>
      <c r="E2" s="77">
        <f>Socios!E9</f>
        <v>4</v>
      </c>
      <c r="F2" s="31"/>
      <c r="G2" s="31"/>
      <c r="H2" s="31"/>
      <c r="I2" s="31"/>
      <c r="J2" s="31"/>
      <c r="K2" s="31"/>
    </row>
    <row r="3" spans="1:11">
      <c r="A3" s="78"/>
      <c r="B3" s="31"/>
      <c r="C3" s="31"/>
      <c r="D3" s="78"/>
      <c r="E3" s="78"/>
      <c r="F3" s="31"/>
      <c r="G3" s="31"/>
      <c r="H3" s="31"/>
      <c r="I3" s="31"/>
      <c r="J3" s="31"/>
      <c r="K3" s="31"/>
    </row>
    <row r="4" spans="1:11">
      <c r="A4" s="31"/>
      <c r="B4" s="198" t="s">
        <v>101</v>
      </c>
      <c r="C4" s="180"/>
      <c r="D4" s="180"/>
      <c r="E4" s="181"/>
      <c r="F4" s="31"/>
      <c r="G4" s="31"/>
      <c r="H4" s="31"/>
      <c r="I4" s="31"/>
      <c r="J4" s="31"/>
      <c r="K4" s="31"/>
    </row>
    <row r="5" spans="1:11">
      <c r="A5" s="73" t="s">
        <v>43</v>
      </c>
      <c r="B5" s="74" t="s">
        <v>102</v>
      </c>
      <c r="C5" s="74" t="s">
        <v>103</v>
      </c>
      <c r="D5" s="74" t="s">
        <v>104</v>
      </c>
      <c r="E5" s="74" t="s">
        <v>105</v>
      </c>
      <c r="F5" s="74" t="s">
        <v>77</v>
      </c>
      <c r="G5" s="74" t="s">
        <v>79</v>
      </c>
      <c r="H5" s="74" t="s">
        <v>80</v>
      </c>
      <c r="I5" s="74" t="s">
        <v>106</v>
      </c>
      <c r="J5" s="75" t="s">
        <v>82</v>
      </c>
      <c r="K5" s="31"/>
    </row>
    <row r="6" spans="1:11">
      <c r="A6" s="86" t="s">
        <v>53</v>
      </c>
      <c r="B6" s="154">
        <v>124.02</v>
      </c>
      <c r="C6" s="154">
        <v>0</v>
      </c>
      <c r="D6" s="155">
        <v>0.1603</v>
      </c>
      <c r="E6" s="155">
        <v>5.6000000000000001E-2</v>
      </c>
      <c r="F6" s="156">
        <f>'Reparto economico'!L3*$C$2/100</f>
        <v>80</v>
      </c>
      <c r="G6" s="157">
        <f t="shared" ref="G6:G17" si="0">F6-C6</f>
        <v>80</v>
      </c>
      <c r="H6" s="158">
        <f t="shared" ref="H6:H17" si="1">(G6*D6+C6*E6)-$E$2</f>
        <v>8.8239999999999998</v>
      </c>
      <c r="I6" s="158">
        <f>H6</f>
        <v>8.8239999999999998</v>
      </c>
      <c r="J6" s="159">
        <f t="shared" ref="J6:J17" si="2">I6/$D$2</f>
        <v>8.8240000000000002E-3</v>
      </c>
      <c r="K6" s="31"/>
    </row>
    <row r="7" spans="1:11">
      <c r="A7" s="86" t="s">
        <v>55</v>
      </c>
      <c r="B7" s="154">
        <v>108.73</v>
      </c>
      <c r="C7" s="154">
        <v>0</v>
      </c>
      <c r="D7" s="155">
        <v>0.18759999999999999</v>
      </c>
      <c r="E7" s="155">
        <v>7.1999999999999995E-2</v>
      </c>
      <c r="F7" s="156">
        <f>'Reparto economico'!L4*$C$2/100</f>
        <v>100</v>
      </c>
      <c r="G7" s="157">
        <f t="shared" si="0"/>
        <v>100</v>
      </c>
      <c r="H7" s="158">
        <f t="shared" si="1"/>
        <v>14.759999999999998</v>
      </c>
      <c r="I7" s="158">
        <f t="shared" ref="I7:I17" si="3">H7+I6</f>
        <v>23.583999999999996</v>
      </c>
      <c r="J7" s="159">
        <f t="shared" si="2"/>
        <v>2.3583999999999997E-2</v>
      </c>
      <c r="K7" s="31"/>
    </row>
    <row r="8" spans="1:11">
      <c r="A8" s="86" t="s">
        <v>56</v>
      </c>
      <c r="B8" s="154">
        <v>155.65</v>
      </c>
      <c r="C8" s="154">
        <v>0</v>
      </c>
      <c r="D8" s="155">
        <v>0.15959999999999999</v>
      </c>
      <c r="E8" s="155">
        <v>6.6500000000000004E-2</v>
      </c>
      <c r="F8" s="156">
        <f>'Reparto economico'!L5*$C$2/100</f>
        <v>140</v>
      </c>
      <c r="G8" s="157">
        <f t="shared" si="0"/>
        <v>140</v>
      </c>
      <c r="H8" s="158">
        <f t="shared" si="1"/>
        <v>18.343999999999998</v>
      </c>
      <c r="I8" s="158">
        <f t="shared" si="3"/>
        <v>41.927999999999997</v>
      </c>
      <c r="J8" s="159">
        <f t="shared" si="2"/>
        <v>4.1928E-2</v>
      </c>
      <c r="K8" s="31"/>
    </row>
    <row r="9" spans="1:11">
      <c r="A9" s="86" t="s">
        <v>57</v>
      </c>
      <c r="B9" s="154">
        <v>194.24</v>
      </c>
      <c r="C9" s="154">
        <v>0</v>
      </c>
      <c r="D9" s="155">
        <v>0.17480000000000001</v>
      </c>
      <c r="E9" s="155">
        <v>4.99E-2</v>
      </c>
      <c r="F9" s="156">
        <f>'Reparto economico'!L6*$C$2/100</f>
        <v>160</v>
      </c>
      <c r="G9" s="157">
        <f t="shared" si="0"/>
        <v>160</v>
      </c>
      <c r="H9" s="158">
        <f t="shared" si="1"/>
        <v>23.968000000000004</v>
      </c>
      <c r="I9" s="158">
        <f t="shared" si="3"/>
        <v>65.896000000000001</v>
      </c>
      <c r="J9" s="159">
        <f t="shared" si="2"/>
        <v>6.5895999999999996E-2</v>
      </c>
      <c r="K9" s="31"/>
    </row>
    <row r="10" spans="1:11">
      <c r="A10" s="90" t="s">
        <v>58</v>
      </c>
      <c r="B10" s="154">
        <v>133.94999999999999</v>
      </c>
      <c r="C10" s="154">
        <v>46.05</v>
      </c>
      <c r="D10" s="155">
        <v>0.16370000000000001</v>
      </c>
      <c r="E10" s="155">
        <v>6.8699999999999997E-2</v>
      </c>
      <c r="F10" s="156">
        <f>'Reparto economico'!L7*$C$2/100</f>
        <v>180</v>
      </c>
      <c r="G10" s="157">
        <f t="shared" si="0"/>
        <v>133.94999999999999</v>
      </c>
      <c r="H10" s="158">
        <f t="shared" si="1"/>
        <v>21.091249999999999</v>
      </c>
      <c r="I10" s="158">
        <f t="shared" si="3"/>
        <v>86.987250000000003</v>
      </c>
      <c r="J10" s="159">
        <f t="shared" si="2"/>
        <v>8.6987250000000002E-2</v>
      </c>
      <c r="K10" s="31"/>
    </row>
    <row r="11" spans="1:11">
      <c r="A11" s="90" t="s">
        <v>59</v>
      </c>
      <c r="B11" s="154">
        <v>119.22</v>
      </c>
      <c r="C11" s="154">
        <v>70.78</v>
      </c>
      <c r="D11" s="155">
        <v>0.19539999999999999</v>
      </c>
      <c r="E11" s="155">
        <v>7.1800000000000003E-2</v>
      </c>
      <c r="F11" s="156">
        <f>'Reparto economico'!L8*$C$2/100</f>
        <v>180</v>
      </c>
      <c r="G11" s="157">
        <f t="shared" si="0"/>
        <v>109.22</v>
      </c>
      <c r="H11" s="158">
        <f t="shared" si="1"/>
        <v>22.423591999999999</v>
      </c>
      <c r="I11" s="158">
        <f t="shared" si="3"/>
        <v>109.410842</v>
      </c>
      <c r="J11" s="159">
        <f t="shared" si="2"/>
        <v>0.10941084200000001</v>
      </c>
      <c r="K11" s="31"/>
    </row>
    <row r="12" spans="1:11">
      <c r="A12" s="90" t="s">
        <v>60</v>
      </c>
      <c r="B12" s="154">
        <v>173.69</v>
      </c>
      <c r="C12" s="154">
        <v>26.31</v>
      </c>
      <c r="D12" s="155">
        <v>0.16039999999999999</v>
      </c>
      <c r="E12" s="155">
        <v>6.0100000000000001E-2</v>
      </c>
      <c r="F12" s="156">
        <f>'Reparto economico'!L9*$C$2/100</f>
        <v>200</v>
      </c>
      <c r="G12" s="157">
        <f t="shared" si="0"/>
        <v>173.69</v>
      </c>
      <c r="H12" s="158">
        <f t="shared" si="1"/>
        <v>25.441106999999995</v>
      </c>
      <c r="I12" s="158">
        <f t="shared" si="3"/>
        <v>134.85194899999999</v>
      </c>
      <c r="J12" s="159">
        <f t="shared" si="2"/>
        <v>0.134851949</v>
      </c>
      <c r="K12" s="31"/>
    </row>
    <row r="13" spans="1:11">
      <c r="A13" s="90" t="s">
        <v>62</v>
      </c>
      <c r="B13" s="154">
        <v>198.81</v>
      </c>
      <c r="C13" s="154">
        <v>0</v>
      </c>
      <c r="D13" s="155">
        <v>0.16919999999999999</v>
      </c>
      <c r="E13" s="155">
        <v>4.1500000000000002E-2</v>
      </c>
      <c r="F13" s="156">
        <f>'Reparto economico'!L10*$C$2/100</f>
        <v>190</v>
      </c>
      <c r="G13" s="157">
        <f t="shared" si="0"/>
        <v>190</v>
      </c>
      <c r="H13" s="158">
        <f t="shared" si="1"/>
        <v>28.147999999999996</v>
      </c>
      <c r="I13" s="158">
        <f t="shared" si="3"/>
        <v>162.99994899999999</v>
      </c>
      <c r="J13" s="159">
        <f t="shared" si="2"/>
        <v>0.16299994899999998</v>
      </c>
      <c r="K13" s="31"/>
    </row>
    <row r="14" spans="1:11">
      <c r="A14" s="90" t="s">
        <v>63</v>
      </c>
      <c r="B14" s="154">
        <v>155.22</v>
      </c>
      <c r="C14" s="154">
        <v>4.78</v>
      </c>
      <c r="D14" s="155">
        <v>0.1769</v>
      </c>
      <c r="E14" s="155">
        <v>6.1499999999999999E-2</v>
      </c>
      <c r="F14" s="156">
        <f>'Reparto economico'!L11*$C$2/100</f>
        <v>160</v>
      </c>
      <c r="G14" s="157">
        <f t="shared" si="0"/>
        <v>155.22</v>
      </c>
      <c r="H14" s="158">
        <f t="shared" si="1"/>
        <v>23.752388000000003</v>
      </c>
      <c r="I14" s="158">
        <f t="shared" si="3"/>
        <v>186.75233699999998</v>
      </c>
      <c r="J14" s="159">
        <f t="shared" si="2"/>
        <v>0.18675233699999999</v>
      </c>
      <c r="K14" s="31"/>
    </row>
    <row r="15" spans="1:11">
      <c r="A15" s="90" t="s">
        <v>64</v>
      </c>
      <c r="B15" s="154">
        <v>173.99</v>
      </c>
      <c r="C15" s="154">
        <v>0</v>
      </c>
      <c r="D15" s="155">
        <v>0.16880000000000001</v>
      </c>
      <c r="E15" s="155">
        <v>5.8700000000000002E-2</v>
      </c>
      <c r="F15" s="156">
        <f>'Reparto economico'!L12*$C$2/100</f>
        <v>130</v>
      </c>
      <c r="G15" s="157">
        <f t="shared" si="0"/>
        <v>130</v>
      </c>
      <c r="H15" s="158">
        <f t="shared" si="1"/>
        <v>17.943999999999999</v>
      </c>
      <c r="I15" s="158">
        <f t="shared" si="3"/>
        <v>204.69633699999997</v>
      </c>
      <c r="J15" s="159">
        <f t="shared" si="2"/>
        <v>0.20469633699999998</v>
      </c>
      <c r="K15" s="31"/>
    </row>
    <row r="16" spans="1:11">
      <c r="A16" s="90" t="s">
        <v>65</v>
      </c>
      <c r="B16" s="154">
        <v>115.99</v>
      </c>
      <c r="C16" s="154">
        <v>0</v>
      </c>
      <c r="D16" s="155">
        <v>0.17219999999999999</v>
      </c>
      <c r="E16" s="155">
        <v>5.4699999999999999E-2</v>
      </c>
      <c r="F16" s="156">
        <f>'Reparto economico'!L13*$C$2/100</f>
        <v>90</v>
      </c>
      <c r="G16" s="157">
        <f t="shared" si="0"/>
        <v>90</v>
      </c>
      <c r="H16" s="158">
        <f t="shared" si="1"/>
        <v>11.497999999999999</v>
      </c>
      <c r="I16" s="158">
        <f t="shared" si="3"/>
        <v>216.19433699999996</v>
      </c>
      <c r="J16" s="159">
        <f t="shared" si="2"/>
        <v>0.21619433699999996</v>
      </c>
      <c r="K16" s="31"/>
    </row>
    <row r="17" spans="1:11">
      <c r="A17" s="90" t="s">
        <v>66</v>
      </c>
      <c r="B17" s="154">
        <v>152.31</v>
      </c>
      <c r="C17" s="154">
        <v>0</v>
      </c>
      <c r="D17" s="155">
        <v>0.1595</v>
      </c>
      <c r="E17" s="155">
        <v>6.7500000000000004E-2</v>
      </c>
      <c r="F17" s="156">
        <f>'Reparto economico'!L14*$C$2/100</f>
        <v>70</v>
      </c>
      <c r="G17" s="157">
        <f t="shared" si="0"/>
        <v>70</v>
      </c>
      <c r="H17" s="158">
        <f t="shared" si="1"/>
        <v>7.1650000000000009</v>
      </c>
      <c r="I17" s="158">
        <f t="shared" si="3"/>
        <v>223.35933699999995</v>
      </c>
      <c r="J17" s="159">
        <f t="shared" si="2"/>
        <v>0.22335933699999996</v>
      </c>
      <c r="K17" s="31"/>
    </row>
    <row r="18" spans="1:11">
      <c r="A18" s="91" t="s">
        <v>8</v>
      </c>
      <c r="B18" s="66">
        <f t="shared" ref="B18:C18" si="4">SUM(B2:B17)</f>
        <v>1805.82</v>
      </c>
      <c r="C18" s="66">
        <f t="shared" si="4"/>
        <v>152.91999999999999</v>
      </c>
      <c r="D18" s="65" t="s">
        <v>107</v>
      </c>
      <c r="E18" s="65" t="s">
        <v>107</v>
      </c>
      <c r="F18" s="66">
        <f t="shared" ref="F18:I18" si="5">SUM(F2:F17)</f>
        <v>1680</v>
      </c>
      <c r="G18" s="66">
        <f t="shared" si="5"/>
        <v>1532.0800000000002</v>
      </c>
      <c r="H18" s="66">
        <f t="shared" si="5"/>
        <v>223.35933699999995</v>
      </c>
      <c r="I18" s="66">
        <f t="shared" si="5"/>
        <v>1465.4843379999998</v>
      </c>
      <c r="J18" s="92">
        <f>J17</f>
        <v>0.22335933699999996</v>
      </c>
      <c r="K18" s="31"/>
    </row>
    <row r="19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">
    <mergeCell ref="B4:E4"/>
  </mergeCells>
  <pageMargins left="0.75" right="0.75" top="1" bottom="1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0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6" customWidth="1"/>
    <col min="7" max="7" width="5.85546875" customWidth="1"/>
    <col min="8" max="8" width="6.1406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20" width="8.7109375" customWidth="1"/>
  </cols>
  <sheetData>
    <row r="1" spans="1:20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27"/>
      <c r="G1" s="27"/>
      <c r="H1" s="27"/>
      <c r="I1" s="27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>
      <c r="A2" s="76">
        <f>Socios!A10</f>
        <v>9</v>
      </c>
      <c r="B2" s="76" t="str">
        <f>Socios!B10</f>
        <v>Jesus</v>
      </c>
      <c r="C2" s="76">
        <f>Socios!C10</f>
        <v>10</v>
      </c>
      <c r="D2" s="76">
        <f>Socios!D10</f>
        <v>2000</v>
      </c>
      <c r="E2" s="77">
        <f>Socios!E10</f>
        <v>8</v>
      </c>
      <c r="F2" s="27"/>
      <c r="G2" s="27"/>
      <c r="H2" s="27"/>
      <c r="I2" s="27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78"/>
      <c r="B3" s="31"/>
      <c r="C3" s="31"/>
      <c r="D3" s="78"/>
      <c r="E3" s="78"/>
      <c r="F3" s="27"/>
      <c r="G3" s="27"/>
      <c r="H3" s="27"/>
      <c r="I3" s="27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>
      <c r="A4" s="31"/>
      <c r="B4" s="198" t="s">
        <v>101</v>
      </c>
      <c r="C4" s="180"/>
      <c r="D4" s="180"/>
      <c r="E4" s="180"/>
      <c r="F4" s="180"/>
      <c r="G4" s="180"/>
      <c r="H4" s="180"/>
      <c r="I4" s="18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>
      <c r="A5" s="93" t="s">
        <v>43</v>
      </c>
      <c r="B5" s="199" t="s">
        <v>102</v>
      </c>
      <c r="C5" s="200"/>
      <c r="D5" s="200"/>
      <c r="E5" s="201" t="s">
        <v>103</v>
      </c>
      <c r="F5" s="199" t="s">
        <v>104</v>
      </c>
      <c r="G5" s="200"/>
      <c r="H5" s="200"/>
      <c r="I5" s="201" t="s">
        <v>105</v>
      </c>
      <c r="J5" s="94" t="s">
        <v>77</v>
      </c>
      <c r="K5" s="199" t="s">
        <v>79</v>
      </c>
      <c r="L5" s="200"/>
      <c r="M5" s="200"/>
      <c r="N5" s="203"/>
      <c r="O5" s="97" t="s">
        <v>108</v>
      </c>
      <c r="P5" s="94" t="s">
        <v>109</v>
      </c>
      <c r="Q5" s="94" t="s">
        <v>80</v>
      </c>
      <c r="R5" s="94" t="s">
        <v>106</v>
      </c>
      <c r="S5" s="95" t="s">
        <v>82</v>
      </c>
      <c r="T5" s="31"/>
    </row>
    <row r="6" spans="1:20">
      <c r="A6" s="5"/>
      <c r="B6" s="6" t="s">
        <v>110</v>
      </c>
      <c r="C6" s="6" t="s">
        <v>111</v>
      </c>
      <c r="D6" s="6" t="s">
        <v>112</v>
      </c>
      <c r="E6" s="202"/>
      <c r="F6" s="6" t="s">
        <v>110</v>
      </c>
      <c r="G6" s="6" t="s">
        <v>111</v>
      </c>
      <c r="H6" s="6" t="s">
        <v>112</v>
      </c>
      <c r="I6" s="202"/>
      <c r="J6" s="6" t="s">
        <v>113</v>
      </c>
      <c r="K6" s="6" t="s">
        <v>113</v>
      </c>
      <c r="L6" s="6" t="s">
        <v>110</v>
      </c>
      <c r="M6" s="6" t="s">
        <v>111</v>
      </c>
      <c r="N6" s="6" t="s">
        <v>112</v>
      </c>
      <c r="O6" s="98"/>
      <c r="P6" s="6"/>
      <c r="Q6" s="6"/>
      <c r="R6" s="6"/>
      <c r="S6" s="7"/>
      <c r="T6" s="31"/>
    </row>
    <row r="7" spans="1:20">
      <c r="A7" s="86" t="s">
        <v>53</v>
      </c>
      <c r="B7" s="87">
        <v>81.22</v>
      </c>
      <c r="C7" s="87">
        <v>135.56</v>
      </c>
      <c r="D7" s="87">
        <v>105.23</v>
      </c>
      <c r="E7" s="87">
        <v>0</v>
      </c>
      <c r="F7" s="88">
        <v>0.1759</v>
      </c>
      <c r="G7" s="88">
        <v>0.17169999999999999</v>
      </c>
      <c r="H7" s="88">
        <v>0.18740000000000001</v>
      </c>
      <c r="I7" s="88">
        <v>5.04E-2</v>
      </c>
      <c r="J7" s="24">
        <f>'Reparto economico'!L3*$C$2/100</f>
        <v>160</v>
      </c>
      <c r="K7" s="59">
        <f t="shared" ref="K7:K18" si="0">J7-E7</f>
        <v>160</v>
      </c>
      <c r="L7" s="101">
        <f t="shared" ref="L7:L18" si="1">K7*0.29</f>
        <v>46.4</v>
      </c>
      <c r="M7" s="24">
        <f t="shared" ref="M7:M18" si="2">K7*0.44</f>
        <v>70.400000000000006</v>
      </c>
      <c r="N7" s="101">
        <f t="shared" ref="N7:N18" si="3">K7*0.27</f>
        <v>43.2</v>
      </c>
      <c r="O7" s="60">
        <f t="shared" ref="O7:O18" si="4">L7*F7+M7*G7+N7*H7</f>
        <v>28.345120000000001</v>
      </c>
      <c r="P7" s="60">
        <f t="shared" ref="P7:P18" si="5">E7*I7</f>
        <v>0</v>
      </c>
      <c r="Q7" s="60">
        <f t="shared" ref="Q7:Q18" si="6">O7+P7-$E$2</f>
        <v>20.345120000000001</v>
      </c>
      <c r="R7" s="60">
        <f>Q7</f>
        <v>20.345120000000001</v>
      </c>
      <c r="S7" s="61">
        <f t="shared" ref="S7:S18" si="7">R7/$D$2</f>
        <v>1.0172560000000001E-2</v>
      </c>
      <c r="T7" s="31"/>
    </row>
    <row r="8" spans="1:20">
      <c r="A8" s="86" t="s">
        <v>55</v>
      </c>
      <c r="B8" s="87">
        <v>97.75</v>
      </c>
      <c r="C8" s="87">
        <v>138.02000000000001</v>
      </c>
      <c r="D8" s="87">
        <v>75.09</v>
      </c>
      <c r="E8" s="87">
        <v>0</v>
      </c>
      <c r="F8" s="88">
        <v>0.1767</v>
      </c>
      <c r="G8" s="88">
        <v>0.16550000000000001</v>
      </c>
      <c r="H8" s="88">
        <v>0.16400000000000001</v>
      </c>
      <c r="I8" s="88">
        <v>0.06</v>
      </c>
      <c r="J8" s="24">
        <f>'Reparto economico'!L4*$C$2/100</f>
        <v>200</v>
      </c>
      <c r="K8" s="59">
        <f t="shared" si="0"/>
        <v>200</v>
      </c>
      <c r="L8" s="101">
        <f t="shared" si="1"/>
        <v>57.999999999999993</v>
      </c>
      <c r="M8" s="24">
        <f t="shared" si="2"/>
        <v>88</v>
      </c>
      <c r="N8" s="101">
        <f t="shared" si="3"/>
        <v>54</v>
      </c>
      <c r="O8" s="60">
        <f t="shared" si="4"/>
        <v>33.668599999999998</v>
      </c>
      <c r="P8" s="60">
        <f t="shared" si="5"/>
        <v>0</v>
      </c>
      <c r="Q8" s="60">
        <f t="shared" si="6"/>
        <v>25.668599999999998</v>
      </c>
      <c r="R8" s="60">
        <f t="shared" ref="R8:R18" si="8">Q8+R7</f>
        <v>46.013719999999999</v>
      </c>
      <c r="S8" s="61">
        <f t="shared" si="7"/>
        <v>2.3006860000000001E-2</v>
      </c>
      <c r="T8" s="31"/>
    </row>
    <row r="9" spans="1:20">
      <c r="A9" s="86" t="s">
        <v>56</v>
      </c>
      <c r="B9" s="87">
        <v>72.930000000000007</v>
      </c>
      <c r="C9" s="87">
        <v>132.69999999999999</v>
      </c>
      <c r="D9" s="87">
        <v>102.17</v>
      </c>
      <c r="E9" s="87">
        <v>0</v>
      </c>
      <c r="F9" s="88">
        <v>0.18770000000000001</v>
      </c>
      <c r="G9" s="88">
        <v>0.18940000000000001</v>
      </c>
      <c r="H9" s="88">
        <v>0.1694</v>
      </c>
      <c r="I9" s="88">
        <v>5.7599999999999998E-2</v>
      </c>
      <c r="J9" s="24">
        <f>'Reparto economico'!L5*$C$2/100</f>
        <v>280</v>
      </c>
      <c r="K9" s="59">
        <f t="shared" si="0"/>
        <v>280</v>
      </c>
      <c r="L9" s="101">
        <f t="shared" si="1"/>
        <v>81.199999999999989</v>
      </c>
      <c r="M9" s="24">
        <f t="shared" si="2"/>
        <v>123.2</v>
      </c>
      <c r="N9" s="101">
        <f t="shared" si="3"/>
        <v>75.600000000000009</v>
      </c>
      <c r="O9" s="60">
        <f t="shared" si="4"/>
        <v>51.381960000000007</v>
      </c>
      <c r="P9" s="60">
        <f t="shared" si="5"/>
        <v>0</v>
      </c>
      <c r="Q9" s="60">
        <f t="shared" si="6"/>
        <v>43.381960000000007</v>
      </c>
      <c r="R9" s="60">
        <f t="shared" si="8"/>
        <v>89.395679999999999</v>
      </c>
      <c r="S9" s="61">
        <f t="shared" si="7"/>
        <v>4.4697840000000003E-2</v>
      </c>
      <c r="T9" s="31"/>
    </row>
    <row r="10" spans="1:20">
      <c r="A10" s="86" t="s">
        <v>57</v>
      </c>
      <c r="B10" s="87">
        <v>82.94</v>
      </c>
      <c r="C10" s="87">
        <v>82.67</v>
      </c>
      <c r="D10" s="87">
        <v>77.13</v>
      </c>
      <c r="E10" s="87">
        <v>77.260000000000005</v>
      </c>
      <c r="F10" s="88">
        <v>0.1663</v>
      </c>
      <c r="G10" s="88">
        <v>0.18909999999999999</v>
      </c>
      <c r="H10" s="88">
        <v>0.1729</v>
      </c>
      <c r="I10" s="88">
        <v>7.4300000000000005E-2</v>
      </c>
      <c r="J10" s="24">
        <f>'Reparto economico'!L6*$C$2/100</f>
        <v>320</v>
      </c>
      <c r="K10" s="59">
        <f t="shared" si="0"/>
        <v>242.74</v>
      </c>
      <c r="L10" s="101">
        <f t="shared" si="1"/>
        <v>70.394599999999997</v>
      </c>
      <c r="M10" s="24">
        <f t="shared" si="2"/>
        <v>106.8056</v>
      </c>
      <c r="N10" s="101">
        <f t="shared" si="3"/>
        <v>65.539800000000014</v>
      </c>
      <c r="O10" s="60">
        <f t="shared" si="4"/>
        <v>43.235392359999999</v>
      </c>
      <c r="P10" s="60">
        <f t="shared" si="5"/>
        <v>5.7404180000000009</v>
      </c>
      <c r="Q10" s="60">
        <f t="shared" si="6"/>
        <v>40.975810359999997</v>
      </c>
      <c r="R10" s="60">
        <f t="shared" si="8"/>
        <v>130.37149036</v>
      </c>
      <c r="S10" s="61">
        <f t="shared" si="7"/>
        <v>6.5185745180000004E-2</v>
      </c>
      <c r="T10" s="31"/>
    </row>
    <row r="11" spans="1:20">
      <c r="A11" s="90" t="s">
        <v>58</v>
      </c>
      <c r="B11" s="87">
        <v>70.489999999999995</v>
      </c>
      <c r="C11" s="87">
        <v>114.42</v>
      </c>
      <c r="D11" s="87">
        <v>72.959999999999994</v>
      </c>
      <c r="E11" s="87">
        <v>102.13</v>
      </c>
      <c r="F11" s="88">
        <v>0.1837</v>
      </c>
      <c r="G11" s="88">
        <v>0.18110000000000001</v>
      </c>
      <c r="H11" s="88">
        <v>0.16950000000000001</v>
      </c>
      <c r="I11" s="88">
        <v>7.0999999999999994E-2</v>
      </c>
      <c r="J11" s="24">
        <f>'Reparto economico'!L7*$C$2/100</f>
        <v>360</v>
      </c>
      <c r="K11" s="59">
        <f t="shared" si="0"/>
        <v>257.87</v>
      </c>
      <c r="L11" s="101">
        <f t="shared" si="1"/>
        <v>74.782299999999992</v>
      </c>
      <c r="M11" s="24">
        <f t="shared" si="2"/>
        <v>113.4628</v>
      </c>
      <c r="N11" s="101">
        <f t="shared" si="3"/>
        <v>69.624900000000011</v>
      </c>
      <c r="O11" s="60">
        <f t="shared" si="4"/>
        <v>46.087042140000001</v>
      </c>
      <c r="P11" s="60">
        <f t="shared" si="5"/>
        <v>7.2512299999999987</v>
      </c>
      <c r="Q11" s="60">
        <f t="shared" si="6"/>
        <v>45.338272140000001</v>
      </c>
      <c r="R11" s="60">
        <f t="shared" si="8"/>
        <v>175.70976250000001</v>
      </c>
      <c r="S11" s="61">
        <f t="shared" si="7"/>
        <v>8.7854881250000003E-2</v>
      </c>
      <c r="T11" s="31"/>
    </row>
    <row r="12" spans="1:20">
      <c r="A12" s="90" t="s">
        <v>59</v>
      </c>
      <c r="B12" s="87">
        <v>83.1</v>
      </c>
      <c r="C12" s="87">
        <v>90.84</v>
      </c>
      <c r="D12" s="87">
        <v>88.22</v>
      </c>
      <c r="E12" s="87">
        <v>117.84</v>
      </c>
      <c r="F12" s="88">
        <v>0.1603</v>
      </c>
      <c r="G12" s="88">
        <v>0.1537</v>
      </c>
      <c r="H12" s="88">
        <v>0.15049999999999999</v>
      </c>
      <c r="I12" s="88">
        <v>4.6199999999999998E-2</v>
      </c>
      <c r="J12" s="24">
        <f>'Reparto economico'!L8*$C$2/100</f>
        <v>360</v>
      </c>
      <c r="K12" s="59">
        <f t="shared" si="0"/>
        <v>242.16</v>
      </c>
      <c r="L12" s="101">
        <f t="shared" si="1"/>
        <v>70.226399999999998</v>
      </c>
      <c r="M12" s="24">
        <f t="shared" si="2"/>
        <v>106.5504</v>
      </c>
      <c r="N12" s="101">
        <f t="shared" si="3"/>
        <v>65.383200000000002</v>
      </c>
      <c r="O12" s="60">
        <f t="shared" si="4"/>
        <v>37.474260000000001</v>
      </c>
      <c r="P12" s="60">
        <f t="shared" si="5"/>
        <v>5.4442079999999997</v>
      </c>
      <c r="Q12" s="60">
        <f t="shared" si="6"/>
        <v>34.918468000000004</v>
      </c>
      <c r="R12" s="60">
        <f t="shared" si="8"/>
        <v>210.62823050000003</v>
      </c>
      <c r="S12" s="61">
        <f t="shared" si="7"/>
        <v>0.10531411525000002</v>
      </c>
      <c r="T12" s="31"/>
    </row>
    <row r="13" spans="1:20">
      <c r="A13" s="90" t="s">
        <v>60</v>
      </c>
      <c r="B13" s="87">
        <v>116.62</v>
      </c>
      <c r="C13" s="87">
        <v>128.49</v>
      </c>
      <c r="D13" s="87">
        <v>84.47</v>
      </c>
      <c r="E13" s="87">
        <v>70.41</v>
      </c>
      <c r="F13" s="88">
        <v>0.15740000000000001</v>
      </c>
      <c r="G13" s="88">
        <v>0.1608</v>
      </c>
      <c r="H13" s="88">
        <v>0.15010000000000001</v>
      </c>
      <c r="I13" s="88">
        <v>4.9500000000000002E-2</v>
      </c>
      <c r="J13" s="24">
        <f>'Reparto economico'!L9*$C$2/100</f>
        <v>400</v>
      </c>
      <c r="K13" s="59">
        <f t="shared" si="0"/>
        <v>329.59000000000003</v>
      </c>
      <c r="L13" s="101">
        <f t="shared" si="1"/>
        <v>95.581100000000006</v>
      </c>
      <c r="M13" s="24">
        <f t="shared" si="2"/>
        <v>145.01960000000003</v>
      </c>
      <c r="N13" s="101">
        <f t="shared" si="3"/>
        <v>88.989300000000014</v>
      </c>
      <c r="O13" s="60">
        <f t="shared" si="4"/>
        <v>51.720910750000009</v>
      </c>
      <c r="P13" s="60">
        <f t="shared" si="5"/>
        <v>3.4852949999999998</v>
      </c>
      <c r="Q13" s="60">
        <f t="shared" si="6"/>
        <v>47.206205750000009</v>
      </c>
      <c r="R13" s="60">
        <f t="shared" si="8"/>
        <v>257.83443625000007</v>
      </c>
      <c r="S13" s="61">
        <f t="shared" si="7"/>
        <v>0.12891721812500004</v>
      </c>
      <c r="T13" s="31"/>
    </row>
    <row r="14" spans="1:20">
      <c r="A14" s="90" t="s">
        <v>62</v>
      </c>
      <c r="B14" s="87">
        <v>90.83</v>
      </c>
      <c r="C14" s="87">
        <v>126.21</v>
      </c>
      <c r="D14" s="87">
        <v>118.2</v>
      </c>
      <c r="E14" s="87">
        <v>44.76</v>
      </c>
      <c r="F14" s="88">
        <v>0.1547</v>
      </c>
      <c r="G14" s="88">
        <v>0.1754</v>
      </c>
      <c r="H14" s="88">
        <v>0.17069999999999999</v>
      </c>
      <c r="I14" s="88">
        <v>4.58E-2</v>
      </c>
      <c r="J14" s="24">
        <f>'Reparto economico'!L10*$C$2/100</f>
        <v>380</v>
      </c>
      <c r="K14" s="59">
        <f t="shared" si="0"/>
        <v>335.24</v>
      </c>
      <c r="L14" s="101">
        <f t="shared" si="1"/>
        <v>97.2196</v>
      </c>
      <c r="M14" s="24">
        <f t="shared" si="2"/>
        <v>147.50560000000002</v>
      </c>
      <c r="N14" s="101">
        <f t="shared" si="3"/>
        <v>90.514800000000008</v>
      </c>
      <c r="O14" s="60">
        <f t="shared" si="4"/>
        <v>56.363230720000004</v>
      </c>
      <c r="P14" s="60">
        <f t="shared" si="5"/>
        <v>2.0500080000000001</v>
      </c>
      <c r="Q14" s="60">
        <f t="shared" si="6"/>
        <v>50.413238720000003</v>
      </c>
      <c r="R14" s="60">
        <f t="shared" si="8"/>
        <v>308.24767497000005</v>
      </c>
      <c r="S14" s="61">
        <f t="shared" si="7"/>
        <v>0.15412383748500003</v>
      </c>
      <c r="T14" s="31"/>
    </row>
    <row r="15" spans="1:20">
      <c r="A15" s="90" t="s">
        <v>63</v>
      </c>
      <c r="B15" s="87">
        <v>85.18</v>
      </c>
      <c r="C15" s="87">
        <v>97.3</v>
      </c>
      <c r="D15" s="87">
        <v>77.209999999999994</v>
      </c>
      <c r="E15" s="87">
        <v>60.32</v>
      </c>
      <c r="F15" s="88">
        <v>0.17480000000000001</v>
      </c>
      <c r="G15" s="88">
        <v>0.16880000000000001</v>
      </c>
      <c r="H15" s="88">
        <v>0.15479999999999999</v>
      </c>
      <c r="I15" s="88">
        <v>6.1699999999999998E-2</v>
      </c>
      <c r="J15" s="24">
        <f>'Reparto economico'!L11*$C$2/100</f>
        <v>320</v>
      </c>
      <c r="K15" s="59">
        <f t="shared" si="0"/>
        <v>259.68</v>
      </c>
      <c r="L15" s="101">
        <f t="shared" si="1"/>
        <v>75.307199999999995</v>
      </c>
      <c r="M15" s="24">
        <f t="shared" si="2"/>
        <v>114.25920000000001</v>
      </c>
      <c r="N15" s="101">
        <f t="shared" si="3"/>
        <v>70.113600000000005</v>
      </c>
      <c r="O15" s="60">
        <f t="shared" si="4"/>
        <v>43.304236799999998</v>
      </c>
      <c r="P15" s="60">
        <f t="shared" si="5"/>
        <v>3.7217439999999997</v>
      </c>
      <c r="Q15" s="60">
        <f t="shared" si="6"/>
        <v>39.025980799999999</v>
      </c>
      <c r="R15" s="60">
        <f t="shared" si="8"/>
        <v>347.27365577000006</v>
      </c>
      <c r="S15" s="61">
        <f t="shared" si="7"/>
        <v>0.17363682788500004</v>
      </c>
      <c r="T15" s="31"/>
    </row>
    <row r="16" spans="1:20">
      <c r="A16" s="90" t="s">
        <v>64</v>
      </c>
      <c r="B16" s="87">
        <v>73.77</v>
      </c>
      <c r="C16" s="87">
        <v>157.79</v>
      </c>
      <c r="D16" s="87">
        <v>76.510000000000005</v>
      </c>
      <c r="E16" s="87">
        <v>0</v>
      </c>
      <c r="F16" s="88">
        <v>0.1714</v>
      </c>
      <c r="G16" s="88">
        <v>0.16059999999999999</v>
      </c>
      <c r="H16" s="88">
        <v>0.1721</v>
      </c>
      <c r="I16" s="88">
        <v>7.1800000000000003E-2</v>
      </c>
      <c r="J16" s="24">
        <f>'Reparto economico'!L12*$C$2/100</f>
        <v>260</v>
      </c>
      <c r="K16" s="59">
        <f t="shared" si="0"/>
        <v>260</v>
      </c>
      <c r="L16" s="101">
        <f t="shared" si="1"/>
        <v>75.399999999999991</v>
      </c>
      <c r="M16" s="24">
        <f t="shared" si="2"/>
        <v>114.4</v>
      </c>
      <c r="N16" s="101">
        <f t="shared" si="3"/>
        <v>70.2</v>
      </c>
      <c r="O16" s="60">
        <f t="shared" si="4"/>
        <v>43.37762</v>
      </c>
      <c r="P16" s="60">
        <f t="shared" si="5"/>
        <v>0</v>
      </c>
      <c r="Q16" s="60">
        <f t="shared" si="6"/>
        <v>35.37762</v>
      </c>
      <c r="R16" s="60">
        <f t="shared" si="8"/>
        <v>382.65127577000004</v>
      </c>
      <c r="S16" s="61">
        <f t="shared" si="7"/>
        <v>0.19132563788500001</v>
      </c>
      <c r="T16" s="31"/>
    </row>
    <row r="17" spans="1:20">
      <c r="A17" s="90" t="s">
        <v>65</v>
      </c>
      <c r="B17" s="87">
        <v>96.26</v>
      </c>
      <c r="C17" s="87">
        <v>159.19</v>
      </c>
      <c r="D17" s="87">
        <v>104.28</v>
      </c>
      <c r="E17" s="87">
        <v>0</v>
      </c>
      <c r="F17" s="88">
        <v>0.18290000000000001</v>
      </c>
      <c r="G17" s="88">
        <v>0.1769</v>
      </c>
      <c r="H17" s="88">
        <v>0.1605</v>
      </c>
      <c r="I17" s="88">
        <v>6.7900000000000002E-2</v>
      </c>
      <c r="J17" s="24">
        <f>'Reparto economico'!L13*$C$2/100</f>
        <v>180</v>
      </c>
      <c r="K17" s="59">
        <f t="shared" si="0"/>
        <v>180</v>
      </c>
      <c r="L17" s="101">
        <f t="shared" si="1"/>
        <v>52.199999999999996</v>
      </c>
      <c r="M17" s="24">
        <f t="shared" si="2"/>
        <v>79.2</v>
      </c>
      <c r="N17" s="101">
        <f t="shared" si="3"/>
        <v>48.6</v>
      </c>
      <c r="O17" s="60">
        <f t="shared" si="4"/>
        <v>31.358160000000002</v>
      </c>
      <c r="P17" s="60">
        <f t="shared" si="5"/>
        <v>0</v>
      </c>
      <c r="Q17" s="60">
        <f t="shared" si="6"/>
        <v>23.358160000000002</v>
      </c>
      <c r="R17" s="60">
        <f t="shared" si="8"/>
        <v>406.00943577000004</v>
      </c>
      <c r="S17" s="61">
        <f t="shared" si="7"/>
        <v>0.20300471788500002</v>
      </c>
      <c r="T17" s="31"/>
    </row>
    <row r="18" spans="1:20">
      <c r="A18" s="90" t="s">
        <v>66</v>
      </c>
      <c r="B18" s="87">
        <v>106.17</v>
      </c>
      <c r="C18" s="87">
        <v>146.33000000000001</v>
      </c>
      <c r="D18" s="87">
        <v>107.93</v>
      </c>
      <c r="E18" s="87">
        <v>0</v>
      </c>
      <c r="F18" s="88">
        <v>0.1875</v>
      </c>
      <c r="G18" s="88">
        <v>0.1595</v>
      </c>
      <c r="H18" s="88">
        <v>0.17879999999999999</v>
      </c>
      <c r="I18" s="88">
        <v>7.6200000000000004E-2</v>
      </c>
      <c r="J18" s="24">
        <f>'Reparto economico'!L14*$C$2/100</f>
        <v>140</v>
      </c>
      <c r="K18" s="59">
        <f t="shared" si="0"/>
        <v>140</v>
      </c>
      <c r="L18" s="101">
        <f t="shared" si="1"/>
        <v>40.599999999999994</v>
      </c>
      <c r="M18" s="24">
        <f t="shared" si="2"/>
        <v>61.6</v>
      </c>
      <c r="N18" s="101">
        <f t="shared" si="3"/>
        <v>37.800000000000004</v>
      </c>
      <c r="O18" s="60">
        <f t="shared" si="4"/>
        <v>24.196339999999999</v>
      </c>
      <c r="P18" s="60">
        <f t="shared" si="5"/>
        <v>0</v>
      </c>
      <c r="Q18" s="60">
        <f t="shared" si="6"/>
        <v>16.196339999999999</v>
      </c>
      <c r="R18" s="60">
        <f t="shared" si="8"/>
        <v>422.20577577000006</v>
      </c>
      <c r="S18" s="61">
        <f t="shared" si="7"/>
        <v>0.21110288788500003</v>
      </c>
      <c r="T18" s="31"/>
    </row>
    <row r="19" spans="1:20">
      <c r="A19" s="102" t="s">
        <v>8</v>
      </c>
      <c r="B19" s="103">
        <f t="shared" ref="B19:E19" si="9">SUM(B4:B18)</f>
        <v>1057.2600000000002</v>
      </c>
      <c r="C19" s="103">
        <f t="shared" si="9"/>
        <v>1509.52</v>
      </c>
      <c r="D19" s="103">
        <f t="shared" si="9"/>
        <v>1089.4000000000001</v>
      </c>
      <c r="E19" s="103">
        <f t="shared" si="9"/>
        <v>472.71999999999997</v>
      </c>
      <c r="F19" s="104" t="s">
        <v>107</v>
      </c>
      <c r="G19" s="104" t="s">
        <v>107</v>
      </c>
      <c r="H19" s="104" t="s">
        <v>107</v>
      </c>
      <c r="I19" s="104" t="s">
        <v>107</v>
      </c>
      <c r="J19" s="103">
        <f t="shared" ref="J19:R19" si="10">SUM(J4:J18)</f>
        <v>3360</v>
      </c>
      <c r="K19" s="103">
        <f t="shared" si="10"/>
        <v>2887.28</v>
      </c>
      <c r="L19" s="103">
        <f t="shared" si="10"/>
        <v>837.31119999999999</v>
      </c>
      <c r="M19" s="103">
        <f t="shared" si="10"/>
        <v>1270.4032</v>
      </c>
      <c r="N19" s="103">
        <f t="shared" si="10"/>
        <v>779.56560000000013</v>
      </c>
      <c r="O19" s="103">
        <f t="shared" si="10"/>
        <v>490.51287277</v>
      </c>
      <c r="P19" s="103">
        <f t="shared" si="10"/>
        <v>27.692903000000001</v>
      </c>
      <c r="Q19" s="103">
        <f t="shared" si="10"/>
        <v>422.20577577000006</v>
      </c>
      <c r="R19" s="103">
        <f t="shared" si="10"/>
        <v>2796.6862576600001</v>
      </c>
      <c r="S19" s="105">
        <f>S18</f>
        <v>0.21110288788500003</v>
      </c>
      <c r="T19" s="31"/>
    </row>
    <row r="20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mergeCells count="6">
    <mergeCell ref="K5:N5"/>
    <mergeCell ref="B4:I4"/>
    <mergeCell ref="B5:D5"/>
    <mergeCell ref="E5:E6"/>
    <mergeCell ref="F5:H5"/>
    <mergeCell ref="I5:I6"/>
  </mergeCells>
  <pageMargins left="0.75" right="0.75" top="1" bottom="1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0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6" customWidth="1"/>
    <col min="7" max="7" width="5.85546875" customWidth="1"/>
    <col min="8" max="8" width="6.1406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20" width="8.7109375" customWidth="1"/>
  </cols>
  <sheetData>
    <row r="1" spans="1:20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160"/>
      <c r="G1" s="160"/>
      <c r="H1" s="160"/>
      <c r="I1" s="160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>
      <c r="A2" s="76">
        <f>Socios!A11</f>
        <v>10</v>
      </c>
      <c r="B2" s="76" t="str">
        <f>Socios!B11</f>
        <v>Ana</v>
      </c>
      <c r="C2" s="76">
        <f>Socios!C11</f>
        <v>10</v>
      </c>
      <c r="D2" s="76">
        <f>Socios!D11</f>
        <v>2000</v>
      </c>
      <c r="E2" s="77">
        <f>Socios!E11</f>
        <v>8</v>
      </c>
      <c r="F2" s="160"/>
      <c r="G2" s="160"/>
      <c r="H2" s="160"/>
      <c r="I2" s="16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78"/>
      <c r="B3" s="31"/>
      <c r="C3" s="31"/>
      <c r="D3" s="78"/>
      <c r="E3" s="78"/>
      <c r="F3" s="160"/>
      <c r="G3" s="160"/>
      <c r="H3" s="160"/>
      <c r="I3" s="160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>
      <c r="A4" s="31"/>
      <c r="B4" s="198" t="s">
        <v>101</v>
      </c>
      <c r="C4" s="180"/>
      <c r="D4" s="180"/>
      <c r="E4" s="180"/>
      <c r="F4" s="180"/>
      <c r="G4" s="180"/>
      <c r="H4" s="180"/>
      <c r="I4" s="18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>
      <c r="A5" s="93" t="s">
        <v>43</v>
      </c>
      <c r="B5" s="199" t="s">
        <v>102</v>
      </c>
      <c r="C5" s="200"/>
      <c r="D5" s="200"/>
      <c r="E5" s="201" t="s">
        <v>103</v>
      </c>
      <c r="F5" s="207" t="s">
        <v>104</v>
      </c>
      <c r="G5" s="200"/>
      <c r="H5" s="200"/>
      <c r="I5" s="208" t="s">
        <v>105</v>
      </c>
      <c r="J5" s="94" t="s">
        <v>77</v>
      </c>
      <c r="K5" s="199" t="s">
        <v>79</v>
      </c>
      <c r="L5" s="200"/>
      <c r="M5" s="200"/>
      <c r="N5" s="203"/>
      <c r="O5" s="97" t="s">
        <v>108</v>
      </c>
      <c r="P5" s="94" t="s">
        <v>109</v>
      </c>
      <c r="Q5" s="94" t="s">
        <v>80</v>
      </c>
      <c r="R5" s="94" t="s">
        <v>106</v>
      </c>
      <c r="S5" s="95" t="s">
        <v>82</v>
      </c>
      <c r="T5" s="31"/>
    </row>
    <row r="6" spans="1:20">
      <c r="A6" s="161"/>
      <c r="B6" s="162" t="s">
        <v>110</v>
      </c>
      <c r="C6" s="162" t="s">
        <v>111</v>
      </c>
      <c r="D6" s="162" t="s">
        <v>112</v>
      </c>
      <c r="E6" s="205"/>
      <c r="F6" s="163" t="s">
        <v>110</v>
      </c>
      <c r="G6" s="163" t="s">
        <v>111</v>
      </c>
      <c r="H6" s="163" t="s">
        <v>112</v>
      </c>
      <c r="I6" s="205"/>
      <c r="J6" s="162" t="s">
        <v>113</v>
      </c>
      <c r="K6" s="162" t="s">
        <v>113</v>
      </c>
      <c r="L6" s="162" t="s">
        <v>110</v>
      </c>
      <c r="M6" s="162" t="s">
        <v>111</v>
      </c>
      <c r="N6" s="162" t="s">
        <v>112</v>
      </c>
      <c r="O6" s="164"/>
      <c r="P6" s="162"/>
      <c r="Q6" s="162"/>
      <c r="R6" s="162"/>
      <c r="S6" s="165"/>
      <c r="T6" s="31"/>
    </row>
    <row r="7" spans="1:20">
      <c r="A7" s="86" t="s">
        <v>53</v>
      </c>
      <c r="B7" s="87">
        <v>64.989999999999995</v>
      </c>
      <c r="C7" s="87">
        <v>103.4</v>
      </c>
      <c r="D7" s="87">
        <v>96.47</v>
      </c>
      <c r="E7" s="87">
        <v>0</v>
      </c>
      <c r="F7" s="88">
        <v>0.16039999999999999</v>
      </c>
      <c r="G7" s="88">
        <v>0.1867</v>
      </c>
      <c r="H7" s="88">
        <v>0.18629999999999999</v>
      </c>
      <c r="I7" s="88">
        <v>7.8600000000000003E-2</v>
      </c>
      <c r="J7" s="24">
        <f>'Reparto economico'!L3*$C$2/100</f>
        <v>160</v>
      </c>
      <c r="K7" s="59">
        <f t="shared" ref="K7:K18" si="0">J7-E7</f>
        <v>160</v>
      </c>
      <c r="L7" s="101">
        <f t="shared" ref="L7:L18" si="1">K7*0.29</f>
        <v>46.4</v>
      </c>
      <c r="M7" s="24">
        <f t="shared" ref="M7:M18" si="2">K7*0.44</f>
        <v>70.400000000000006</v>
      </c>
      <c r="N7" s="101">
        <f t="shared" ref="N7:N18" si="3">K7*0.27</f>
        <v>43.2</v>
      </c>
      <c r="O7" s="60">
        <f t="shared" ref="O7:O18" si="4">L7*F7+M7*G7+N7*H7</f>
        <v>28.634399999999999</v>
      </c>
      <c r="P7" s="60">
        <f t="shared" ref="P7:P18" si="5">E7*I7</f>
        <v>0</v>
      </c>
      <c r="Q7" s="60">
        <f t="shared" ref="Q7:Q18" si="6">O7+P7-$E$2</f>
        <v>20.634399999999999</v>
      </c>
      <c r="R7" s="60">
        <f>Q7</f>
        <v>20.634399999999999</v>
      </c>
      <c r="S7" s="61">
        <f t="shared" ref="S7:S18" si="7">R7/$D$2</f>
        <v>1.03172E-2</v>
      </c>
      <c r="T7" s="31"/>
    </row>
    <row r="8" spans="1:20">
      <c r="A8" s="86" t="s">
        <v>55</v>
      </c>
      <c r="B8" s="87">
        <v>99.86</v>
      </c>
      <c r="C8" s="87">
        <v>83.87</v>
      </c>
      <c r="D8" s="87">
        <v>84.01</v>
      </c>
      <c r="E8" s="87">
        <v>0</v>
      </c>
      <c r="F8" s="88">
        <v>0.16850000000000001</v>
      </c>
      <c r="G8" s="88">
        <v>0.16439999999999999</v>
      </c>
      <c r="H8" s="88">
        <v>0.15229999999999999</v>
      </c>
      <c r="I8" s="88">
        <v>7.2800000000000004E-2</v>
      </c>
      <c r="J8" s="24">
        <f>'Reparto economico'!L4*$C$2/100</f>
        <v>200</v>
      </c>
      <c r="K8" s="59">
        <f t="shared" si="0"/>
        <v>200</v>
      </c>
      <c r="L8" s="101">
        <f t="shared" si="1"/>
        <v>57.999999999999993</v>
      </c>
      <c r="M8" s="24">
        <f t="shared" si="2"/>
        <v>88</v>
      </c>
      <c r="N8" s="101">
        <f t="shared" si="3"/>
        <v>54</v>
      </c>
      <c r="O8" s="60">
        <f t="shared" si="4"/>
        <v>32.464399999999998</v>
      </c>
      <c r="P8" s="60">
        <f t="shared" si="5"/>
        <v>0</v>
      </c>
      <c r="Q8" s="60">
        <f t="shared" si="6"/>
        <v>24.464399999999998</v>
      </c>
      <c r="R8" s="60">
        <f t="shared" ref="R8:R18" si="8">Q8+R7</f>
        <v>45.098799999999997</v>
      </c>
      <c r="S8" s="61">
        <f t="shared" si="7"/>
        <v>2.2549399999999997E-2</v>
      </c>
      <c r="T8" s="31"/>
    </row>
    <row r="9" spans="1:20">
      <c r="A9" s="86" t="s">
        <v>56</v>
      </c>
      <c r="B9" s="87">
        <v>115.71</v>
      </c>
      <c r="C9" s="87">
        <v>149</v>
      </c>
      <c r="D9" s="87">
        <v>92.9</v>
      </c>
      <c r="E9" s="87">
        <v>0</v>
      </c>
      <c r="F9" s="88">
        <v>0.16339999999999999</v>
      </c>
      <c r="G9" s="88">
        <v>0.18640000000000001</v>
      </c>
      <c r="H9" s="88">
        <v>0.1802</v>
      </c>
      <c r="I9" s="88">
        <v>7.6899999999999996E-2</v>
      </c>
      <c r="J9" s="24">
        <f>'Reparto economico'!L5*$C$2/100</f>
        <v>280</v>
      </c>
      <c r="K9" s="59">
        <f t="shared" si="0"/>
        <v>280</v>
      </c>
      <c r="L9" s="101">
        <f t="shared" si="1"/>
        <v>81.199999999999989</v>
      </c>
      <c r="M9" s="24">
        <f t="shared" si="2"/>
        <v>123.2</v>
      </c>
      <c r="N9" s="101">
        <f t="shared" si="3"/>
        <v>75.600000000000009</v>
      </c>
      <c r="O9" s="60">
        <f t="shared" si="4"/>
        <v>49.85568</v>
      </c>
      <c r="P9" s="60">
        <f t="shared" si="5"/>
        <v>0</v>
      </c>
      <c r="Q9" s="60">
        <f t="shared" si="6"/>
        <v>41.85568</v>
      </c>
      <c r="R9" s="60">
        <f t="shared" si="8"/>
        <v>86.95447999999999</v>
      </c>
      <c r="S9" s="61">
        <f t="shared" si="7"/>
        <v>4.3477239999999993E-2</v>
      </c>
      <c r="T9" s="31"/>
    </row>
    <row r="10" spans="1:20">
      <c r="A10" s="86" t="s">
        <v>57</v>
      </c>
      <c r="B10" s="87">
        <v>96.65</v>
      </c>
      <c r="C10" s="87">
        <v>102.52</v>
      </c>
      <c r="D10" s="87">
        <v>87.98</v>
      </c>
      <c r="E10" s="87">
        <v>32.86</v>
      </c>
      <c r="F10" s="88">
        <v>0.1835</v>
      </c>
      <c r="G10" s="88">
        <v>0.15820000000000001</v>
      </c>
      <c r="H10" s="88">
        <v>0.15629999999999999</v>
      </c>
      <c r="I10" s="88">
        <v>4.0899999999999999E-2</v>
      </c>
      <c r="J10" s="24">
        <f>'Reparto economico'!L6*$C$2/100</f>
        <v>320</v>
      </c>
      <c r="K10" s="59">
        <f t="shared" si="0"/>
        <v>287.14</v>
      </c>
      <c r="L10" s="101">
        <f t="shared" si="1"/>
        <v>83.270599999999988</v>
      </c>
      <c r="M10" s="24">
        <f t="shared" si="2"/>
        <v>126.3416</v>
      </c>
      <c r="N10" s="101">
        <f t="shared" si="3"/>
        <v>77.527799999999999</v>
      </c>
      <c r="O10" s="60">
        <f t="shared" si="4"/>
        <v>47.384991359999994</v>
      </c>
      <c r="P10" s="60">
        <f t="shared" si="5"/>
        <v>1.343974</v>
      </c>
      <c r="Q10" s="60">
        <f t="shared" si="6"/>
        <v>40.728965359999997</v>
      </c>
      <c r="R10" s="60">
        <f t="shared" si="8"/>
        <v>127.68344535999998</v>
      </c>
      <c r="S10" s="61">
        <f t="shared" si="7"/>
        <v>6.384172267999999E-2</v>
      </c>
      <c r="T10" s="31"/>
    </row>
    <row r="11" spans="1:20">
      <c r="A11" s="90" t="s">
        <v>58</v>
      </c>
      <c r="B11" s="87">
        <v>100.22</v>
      </c>
      <c r="C11" s="87">
        <v>94.37</v>
      </c>
      <c r="D11" s="87">
        <v>104.67</v>
      </c>
      <c r="E11" s="87">
        <v>60.74</v>
      </c>
      <c r="F11" s="88">
        <v>0.1615</v>
      </c>
      <c r="G11" s="88">
        <v>0.1867</v>
      </c>
      <c r="H11" s="88">
        <v>0.16550000000000001</v>
      </c>
      <c r="I11" s="88">
        <v>7.5200000000000003E-2</v>
      </c>
      <c r="J11" s="24">
        <f>'Reparto economico'!L7*$C$2/100</f>
        <v>360</v>
      </c>
      <c r="K11" s="59">
        <f t="shared" si="0"/>
        <v>299.26</v>
      </c>
      <c r="L11" s="101">
        <f t="shared" si="1"/>
        <v>86.785399999999996</v>
      </c>
      <c r="M11" s="24">
        <f t="shared" si="2"/>
        <v>131.67439999999999</v>
      </c>
      <c r="N11" s="101">
        <f t="shared" si="3"/>
        <v>80.800200000000004</v>
      </c>
      <c r="O11" s="60">
        <f t="shared" si="4"/>
        <v>51.97188568</v>
      </c>
      <c r="P11" s="60">
        <f t="shared" si="5"/>
        <v>4.5676480000000002</v>
      </c>
      <c r="Q11" s="60">
        <f t="shared" si="6"/>
        <v>48.539533679999998</v>
      </c>
      <c r="R11" s="60">
        <f t="shared" si="8"/>
        <v>176.22297903999998</v>
      </c>
      <c r="S11" s="61">
        <f t="shared" si="7"/>
        <v>8.8111489519999989E-2</v>
      </c>
      <c r="T11" s="31"/>
    </row>
    <row r="12" spans="1:20">
      <c r="A12" s="90" t="s">
        <v>59</v>
      </c>
      <c r="B12" s="87">
        <v>88.43</v>
      </c>
      <c r="C12" s="87">
        <v>96.01</v>
      </c>
      <c r="D12" s="87">
        <v>109.31</v>
      </c>
      <c r="E12" s="87">
        <v>86.25</v>
      </c>
      <c r="F12" s="88">
        <v>0.19320000000000001</v>
      </c>
      <c r="G12" s="88">
        <v>0.1797</v>
      </c>
      <c r="H12" s="88">
        <v>0.18590000000000001</v>
      </c>
      <c r="I12" s="88">
        <v>6.0699999999999997E-2</v>
      </c>
      <c r="J12" s="24">
        <f>'Reparto economico'!L8*$C$2/100</f>
        <v>360</v>
      </c>
      <c r="K12" s="59">
        <f t="shared" si="0"/>
        <v>273.75</v>
      </c>
      <c r="L12" s="101">
        <f t="shared" si="1"/>
        <v>79.387499999999989</v>
      </c>
      <c r="M12" s="24">
        <f t="shared" si="2"/>
        <v>120.45</v>
      </c>
      <c r="N12" s="101">
        <f t="shared" si="3"/>
        <v>73.912500000000009</v>
      </c>
      <c r="O12" s="60">
        <f t="shared" si="4"/>
        <v>50.722863750000002</v>
      </c>
      <c r="P12" s="60">
        <f t="shared" si="5"/>
        <v>5.2353749999999994</v>
      </c>
      <c r="Q12" s="60">
        <f t="shared" si="6"/>
        <v>47.95823875</v>
      </c>
      <c r="R12" s="60">
        <f t="shared" si="8"/>
        <v>224.18121778999998</v>
      </c>
      <c r="S12" s="61">
        <f t="shared" si="7"/>
        <v>0.11209060889499999</v>
      </c>
      <c r="T12" s="31"/>
    </row>
    <row r="13" spans="1:20">
      <c r="A13" s="90" t="s">
        <v>60</v>
      </c>
      <c r="B13" s="87">
        <v>67.430000000000007</v>
      </c>
      <c r="C13" s="87">
        <v>87.93</v>
      </c>
      <c r="D13" s="87">
        <v>81.45</v>
      </c>
      <c r="E13" s="87">
        <v>163.19</v>
      </c>
      <c r="F13" s="88">
        <v>0.15640000000000001</v>
      </c>
      <c r="G13" s="88">
        <v>0.18360000000000001</v>
      </c>
      <c r="H13" s="88">
        <v>0.1699</v>
      </c>
      <c r="I13" s="88">
        <v>5.7299999999999997E-2</v>
      </c>
      <c r="J13" s="24">
        <f>'Reparto economico'!L9*$C$2/100</f>
        <v>400</v>
      </c>
      <c r="K13" s="59">
        <f t="shared" si="0"/>
        <v>236.81</v>
      </c>
      <c r="L13" s="101">
        <f t="shared" si="1"/>
        <v>68.674899999999994</v>
      </c>
      <c r="M13" s="24">
        <f t="shared" si="2"/>
        <v>104.1964</v>
      </c>
      <c r="N13" s="101">
        <f t="shared" si="3"/>
        <v>63.938700000000004</v>
      </c>
      <c r="O13" s="60">
        <f t="shared" si="4"/>
        <v>40.73439853</v>
      </c>
      <c r="P13" s="60">
        <f t="shared" si="5"/>
        <v>9.3507869999999986</v>
      </c>
      <c r="Q13" s="60">
        <f t="shared" si="6"/>
        <v>42.085185529999997</v>
      </c>
      <c r="R13" s="60">
        <f t="shared" si="8"/>
        <v>266.26640331999999</v>
      </c>
      <c r="S13" s="61">
        <f t="shared" si="7"/>
        <v>0.13313320166000001</v>
      </c>
      <c r="T13" s="31"/>
    </row>
    <row r="14" spans="1:20">
      <c r="A14" s="90" t="s">
        <v>62</v>
      </c>
      <c r="B14" s="87">
        <v>83.75</v>
      </c>
      <c r="C14" s="87">
        <v>115.14</v>
      </c>
      <c r="D14" s="87">
        <v>95.6</v>
      </c>
      <c r="E14" s="87">
        <v>85.51</v>
      </c>
      <c r="F14" s="88">
        <v>0.1522</v>
      </c>
      <c r="G14" s="88">
        <v>0.1913</v>
      </c>
      <c r="H14" s="88">
        <v>0.189</v>
      </c>
      <c r="I14" s="88">
        <v>5.8799999999999998E-2</v>
      </c>
      <c r="J14" s="24">
        <f>'Reparto economico'!L10*$C$2/100</f>
        <v>380</v>
      </c>
      <c r="K14" s="59">
        <f t="shared" si="0"/>
        <v>294.49</v>
      </c>
      <c r="L14" s="101">
        <f t="shared" si="1"/>
        <v>85.40209999999999</v>
      </c>
      <c r="M14" s="24">
        <f t="shared" si="2"/>
        <v>129.57560000000001</v>
      </c>
      <c r="N14" s="101">
        <f t="shared" si="3"/>
        <v>79.51230000000001</v>
      </c>
      <c r="O14" s="60">
        <f t="shared" si="4"/>
        <v>52.813836600000002</v>
      </c>
      <c r="P14" s="60">
        <f t="shared" si="5"/>
        <v>5.0279880000000006</v>
      </c>
      <c r="Q14" s="60">
        <f t="shared" si="6"/>
        <v>49.841824600000002</v>
      </c>
      <c r="R14" s="60">
        <f t="shared" si="8"/>
        <v>316.10822791999999</v>
      </c>
      <c r="S14" s="61">
        <f t="shared" si="7"/>
        <v>0.15805411395999999</v>
      </c>
      <c r="T14" s="31"/>
    </row>
    <row r="15" spans="1:20">
      <c r="A15" s="90" t="s">
        <v>63</v>
      </c>
      <c r="B15" s="87">
        <v>109.73</v>
      </c>
      <c r="C15" s="87">
        <v>104.35</v>
      </c>
      <c r="D15" s="87">
        <v>99.27</v>
      </c>
      <c r="E15" s="87">
        <v>6.64</v>
      </c>
      <c r="F15" s="88">
        <v>0.1857</v>
      </c>
      <c r="G15" s="88">
        <v>0.16600000000000001</v>
      </c>
      <c r="H15" s="88">
        <v>0.19650000000000001</v>
      </c>
      <c r="I15" s="88">
        <v>6.5000000000000002E-2</v>
      </c>
      <c r="J15" s="24">
        <f>'Reparto economico'!L11*$C$2/100</f>
        <v>320</v>
      </c>
      <c r="K15" s="59">
        <f t="shared" si="0"/>
        <v>313.36</v>
      </c>
      <c r="L15" s="101">
        <f t="shared" si="1"/>
        <v>90.874399999999994</v>
      </c>
      <c r="M15" s="24">
        <f t="shared" si="2"/>
        <v>137.8784</v>
      </c>
      <c r="N15" s="101">
        <f t="shared" si="3"/>
        <v>84.607200000000006</v>
      </c>
      <c r="O15" s="60">
        <f t="shared" si="4"/>
        <v>56.388505280000004</v>
      </c>
      <c r="P15" s="60">
        <f t="shared" si="5"/>
        <v>0.43159999999999998</v>
      </c>
      <c r="Q15" s="60">
        <f t="shared" si="6"/>
        <v>48.820105280000007</v>
      </c>
      <c r="R15" s="60">
        <f t="shared" si="8"/>
        <v>364.9283332</v>
      </c>
      <c r="S15" s="61">
        <f t="shared" si="7"/>
        <v>0.18246416660000001</v>
      </c>
      <c r="T15" s="31"/>
    </row>
    <row r="16" spans="1:20">
      <c r="A16" s="90" t="s">
        <v>64</v>
      </c>
      <c r="B16" s="87">
        <v>119.69</v>
      </c>
      <c r="C16" s="87">
        <v>153.88</v>
      </c>
      <c r="D16" s="87">
        <v>92.98</v>
      </c>
      <c r="E16" s="87">
        <v>0</v>
      </c>
      <c r="F16" s="88">
        <v>0.15870000000000001</v>
      </c>
      <c r="G16" s="88">
        <v>0.16250000000000001</v>
      </c>
      <c r="H16" s="88">
        <v>0.15040000000000001</v>
      </c>
      <c r="I16" s="88">
        <v>6.7400000000000002E-2</v>
      </c>
      <c r="J16" s="24">
        <f>'Reparto economico'!L12*$C$2/100</f>
        <v>260</v>
      </c>
      <c r="K16" s="59">
        <f t="shared" si="0"/>
        <v>260</v>
      </c>
      <c r="L16" s="101">
        <f t="shared" si="1"/>
        <v>75.399999999999991</v>
      </c>
      <c r="M16" s="24">
        <f t="shared" si="2"/>
        <v>114.4</v>
      </c>
      <c r="N16" s="101">
        <f t="shared" si="3"/>
        <v>70.2</v>
      </c>
      <c r="O16" s="60">
        <f t="shared" si="4"/>
        <v>41.114059999999995</v>
      </c>
      <c r="P16" s="60">
        <f t="shared" si="5"/>
        <v>0</v>
      </c>
      <c r="Q16" s="60">
        <f t="shared" si="6"/>
        <v>33.114059999999995</v>
      </c>
      <c r="R16" s="60">
        <f t="shared" si="8"/>
        <v>398.04239319999999</v>
      </c>
      <c r="S16" s="61">
        <f t="shared" si="7"/>
        <v>0.19902119660000001</v>
      </c>
      <c r="T16" s="31"/>
    </row>
    <row r="17" spans="1:20">
      <c r="A17" s="90" t="s">
        <v>65</v>
      </c>
      <c r="B17" s="87">
        <v>116.77</v>
      </c>
      <c r="C17" s="87">
        <v>96.86</v>
      </c>
      <c r="D17" s="87">
        <v>98.4</v>
      </c>
      <c r="E17" s="87">
        <v>0</v>
      </c>
      <c r="F17" s="88">
        <v>0.1789</v>
      </c>
      <c r="G17" s="88">
        <v>0.1739</v>
      </c>
      <c r="H17" s="88">
        <v>0.18360000000000001</v>
      </c>
      <c r="I17" s="88">
        <v>7.5300000000000006E-2</v>
      </c>
      <c r="J17" s="24">
        <f>'Reparto economico'!L13*$C$2/100</f>
        <v>180</v>
      </c>
      <c r="K17" s="59">
        <f t="shared" si="0"/>
        <v>180</v>
      </c>
      <c r="L17" s="101">
        <f t="shared" si="1"/>
        <v>52.199999999999996</v>
      </c>
      <c r="M17" s="24">
        <f t="shared" si="2"/>
        <v>79.2</v>
      </c>
      <c r="N17" s="101">
        <f t="shared" si="3"/>
        <v>48.6</v>
      </c>
      <c r="O17" s="60">
        <f t="shared" si="4"/>
        <v>32.034420000000004</v>
      </c>
      <c r="P17" s="60">
        <f t="shared" si="5"/>
        <v>0</v>
      </c>
      <c r="Q17" s="60">
        <f t="shared" si="6"/>
        <v>24.034420000000004</v>
      </c>
      <c r="R17" s="60">
        <f t="shared" si="8"/>
        <v>422.0768132</v>
      </c>
      <c r="S17" s="61">
        <f t="shared" si="7"/>
        <v>0.21103840660000001</v>
      </c>
      <c r="T17" s="31"/>
    </row>
    <row r="18" spans="1:20">
      <c r="A18" s="90" t="s">
        <v>66</v>
      </c>
      <c r="B18" s="87">
        <v>108.64</v>
      </c>
      <c r="C18" s="87">
        <v>148.97999999999999</v>
      </c>
      <c r="D18" s="87">
        <v>118.79</v>
      </c>
      <c r="E18" s="87">
        <v>0</v>
      </c>
      <c r="F18" s="88">
        <v>0.19700000000000001</v>
      </c>
      <c r="G18" s="88">
        <v>0.1552</v>
      </c>
      <c r="H18" s="88">
        <v>0.15529999999999999</v>
      </c>
      <c r="I18" s="88">
        <v>7.2599999999999998E-2</v>
      </c>
      <c r="J18" s="24">
        <f>'Reparto economico'!L14*$C$2/100</f>
        <v>140</v>
      </c>
      <c r="K18" s="59">
        <f t="shared" si="0"/>
        <v>140</v>
      </c>
      <c r="L18" s="101">
        <f t="shared" si="1"/>
        <v>40.599999999999994</v>
      </c>
      <c r="M18" s="24">
        <f t="shared" si="2"/>
        <v>61.6</v>
      </c>
      <c r="N18" s="101">
        <f t="shared" si="3"/>
        <v>37.800000000000004</v>
      </c>
      <c r="O18" s="60">
        <f t="shared" si="4"/>
        <v>23.42886</v>
      </c>
      <c r="P18" s="60">
        <f t="shared" si="5"/>
        <v>0</v>
      </c>
      <c r="Q18" s="60">
        <f t="shared" si="6"/>
        <v>15.42886</v>
      </c>
      <c r="R18" s="60">
        <f t="shared" si="8"/>
        <v>437.50567319999999</v>
      </c>
      <c r="S18" s="61">
        <f t="shared" si="7"/>
        <v>0.2187528366</v>
      </c>
      <c r="T18" s="31"/>
    </row>
    <row r="19" spans="1:20">
      <c r="A19" s="91" t="s">
        <v>8</v>
      </c>
      <c r="B19" s="66">
        <f t="shared" ref="B19:E19" si="9">SUM(B4:B18)</f>
        <v>1171.8700000000003</v>
      </c>
      <c r="C19" s="66">
        <f t="shared" si="9"/>
        <v>1336.3099999999997</v>
      </c>
      <c r="D19" s="66">
        <f t="shared" si="9"/>
        <v>1161.8300000000002</v>
      </c>
      <c r="E19" s="66">
        <f t="shared" si="9"/>
        <v>435.18999999999994</v>
      </c>
      <c r="F19" s="67" t="s">
        <v>107</v>
      </c>
      <c r="G19" s="67" t="s">
        <v>107</v>
      </c>
      <c r="H19" s="67" t="s">
        <v>107</v>
      </c>
      <c r="I19" s="67" t="s">
        <v>107</v>
      </c>
      <c r="J19" s="66">
        <f t="shared" ref="J19:R19" si="10">SUM(J4:J18)</f>
        <v>3360</v>
      </c>
      <c r="K19" s="66">
        <f t="shared" si="10"/>
        <v>2924.81</v>
      </c>
      <c r="L19" s="66">
        <f t="shared" si="10"/>
        <v>848.19489999999996</v>
      </c>
      <c r="M19" s="66">
        <f t="shared" si="10"/>
        <v>1286.9164000000001</v>
      </c>
      <c r="N19" s="66">
        <f t="shared" si="10"/>
        <v>789.69870000000014</v>
      </c>
      <c r="O19" s="66">
        <f t="shared" si="10"/>
        <v>507.54830119999997</v>
      </c>
      <c r="P19" s="66">
        <f t="shared" si="10"/>
        <v>25.957371999999996</v>
      </c>
      <c r="Q19" s="66">
        <f t="shared" si="10"/>
        <v>437.50567319999999</v>
      </c>
      <c r="R19" s="66">
        <f t="shared" si="10"/>
        <v>2885.7031662299996</v>
      </c>
      <c r="S19" s="68">
        <f>S18</f>
        <v>0.2187528366</v>
      </c>
      <c r="T19" s="31"/>
    </row>
    <row r="20" spans="1:20">
      <c r="A20" s="31"/>
      <c r="B20" s="31"/>
      <c r="C20" s="31"/>
      <c r="D20" s="31"/>
      <c r="E20" s="31"/>
      <c r="F20" s="166"/>
      <c r="G20" s="166"/>
      <c r="H20" s="166"/>
      <c r="I20" s="166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mergeCells count="6">
    <mergeCell ref="K5:N5"/>
    <mergeCell ref="B4:I4"/>
    <mergeCell ref="B5:D5"/>
    <mergeCell ref="E5:E6"/>
    <mergeCell ref="F5:H5"/>
    <mergeCell ref="I5:I6"/>
  </mergeCells>
  <pageMargins left="0.75" right="0.75" top="1" bottom="1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001"/>
  <sheetViews>
    <sheetView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29" width="8.7109375" customWidth="1"/>
  </cols>
  <sheetData>
    <row r="1" spans="1:10">
      <c r="A1" s="167" t="s">
        <v>20</v>
      </c>
      <c r="B1" s="167" t="s">
        <v>21</v>
      </c>
      <c r="C1" s="167" t="s">
        <v>22</v>
      </c>
      <c r="D1" s="167" t="s">
        <v>100</v>
      </c>
      <c r="E1" s="167" t="s">
        <v>24</v>
      </c>
    </row>
    <row r="2" spans="1:10">
      <c r="A2" s="119"/>
      <c r="D2" s="119"/>
      <c r="E2" s="119"/>
    </row>
    <row r="3" spans="1:10">
      <c r="B3" s="209" t="s">
        <v>101</v>
      </c>
      <c r="C3" s="210"/>
      <c r="D3" s="210"/>
      <c r="E3" s="210"/>
    </row>
    <row r="4" spans="1:10">
      <c r="A4" s="167" t="s">
        <v>43</v>
      </c>
      <c r="B4" s="167" t="s">
        <v>102</v>
      </c>
      <c r="C4" s="167" t="s">
        <v>103</v>
      </c>
      <c r="D4" s="167" t="s">
        <v>104</v>
      </c>
      <c r="E4" s="167" t="s">
        <v>105</v>
      </c>
      <c r="F4" s="167" t="s">
        <v>77</v>
      </c>
      <c r="G4" s="167" t="s">
        <v>79</v>
      </c>
      <c r="H4" s="167" t="s">
        <v>80</v>
      </c>
      <c r="I4" s="167" t="s">
        <v>106</v>
      </c>
      <c r="J4" s="167" t="s">
        <v>82</v>
      </c>
    </row>
    <row r="5" spans="1:10">
      <c r="A5" s="168" t="s">
        <v>53</v>
      </c>
      <c r="B5" s="168"/>
      <c r="C5" s="168"/>
      <c r="D5" s="169"/>
      <c r="E5" s="169"/>
      <c r="F5" s="168">
        <f>'Reparto economico'!L3*$C$2/100</f>
        <v>0</v>
      </c>
      <c r="G5" s="168">
        <f t="shared" ref="G5:G16" si="0">F5-C5</f>
        <v>0</v>
      </c>
      <c r="H5" s="169">
        <f t="shared" ref="H5:H16" si="1">(G5*D5+C5*E5)-$E$2</f>
        <v>0</v>
      </c>
      <c r="I5" s="169">
        <f>H5</f>
        <v>0</v>
      </c>
      <c r="J5" s="170" t="e">
        <f t="shared" ref="J5:J16" si="2">I5/$D$2</f>
        <v>#DIV/0!</v>
      </c>
    </row>
    <row r="6" spans="1:10">
      <c r="A6" s="168" t="s">
        <v>55</v>
      </c>
      <c r="B6" s="168"/>
      <c r="C6" s="168"/>
      <c r="D6" s="169"/>
      <c r="E6" s="169"/>
      <c r="F6" s="168">
        <f>'Reparto economico'!L4*$C$2/100</f>
        <v>0</v>
      </c>
      <c r="G6" s="168">
        <f t="shared" si="0"/>
        <v>0</v>
      </c>
      <c r="H6" s="169">
        <f t="shared" si="1"/>
        <v>0</v>
      </c>
      <c r="I6" s="169">
        <f t="shared" ref="I6:I16" si="3">H6+I5</f>
        <v>0</v>
      </c>
      <c r="J6" s="170" t="e">
        <f t="shared" si="2"/>
        <v>#DIV/0!</v>
      </c>
    </row>
    <row r="7" spans="1:10">
      <c r="A7" s="168" t="s">
        <v>56</v>
      </c>
      <c r="B7" s="168"/>
      <c r="C7" s="168"/>
      <c r="D7" s="169"/>
      <c r="E7" s="169"/>
      <c r="F7" s="168">
        <f>'Reparto economico'!L5*$C$2/100</f>
        <v>0</v>
      </c>
      <c r="G7" s="168">
        <f t="shared" si="0"/>
        <v>0</v>
      </c>
      <c r="H7" s="169">
        <f t="shared" si="1"/>
        <v>0</v>
      </c>
      <c r="I7" s="169">
        <f t="shared" si="3"/>
        <v>0</v>
      </c>
      <c r="J7" s="170" t="e">
        <f t="shared" si="2"/>
        <v>#DIV/0!</v>
      </c>
    </row>
    <row r="8" spans="1:10">
      <c r="A8" s="168" t="s">
        <v>57</v>
      </c>
      <c r="B8" s="168"/>
      <c r="C8" s="168"/>
      <c r="D8" s="169"/>
      <c r="E8" s="169"/>
      <c r="F8" s="168">
        <f>'Reparto economico'!L6*$C$2/100</f>
        <v>0</v>
      </c>
      <c r="G8" s="168">
        <f t="shared" si="0"/>
        <v>0</v>
      </c>
      <c r="H8" s="169">
        <f t="shared" si="1"/>
        <v>0</v>
      </c>
      <c r="I8" s="169">
        <f t="shared" si="3"/>
        <v>0</v>
      </c>
      <c r="J8" s="170" t="e">
        <f t="shared" si="2"/>
        <v>#DIV/0!</v>
      </c>
    </row>
    <row r="9" spans="1:10">
      <c r="A9" s="53" t="s">
        <v>58</v>
      </c>
      <c r="D9" s="171"/>
      <c r="E9" s="171"/>
      <c r="F9" s="168">
        <f>'Reparto economico'!L7*$C$2/100</f>
        <v>0</v>
      </c>
      <c r="G9" s="168">
        <f t="shared" si="0"/>
        <v>0</v>
      </c>
      <c r="H9" s="169">
        <f t="shared" si="1"/>
        <v>0</v>
      </c>
      <c r="I9" s="169">
        <f t="shared" si="3"/>
        <v>0</v>
      </c>
      <c r="J9" s="170" t="e">
        <f t="shared" si="2"/>
        <v>#DIV/0!</v>
      </c>
    </row>
    <row r="10" spans="1:10">
      <c r="A10" s="53" t="s">
        <v>59</v>
      </c>
      <c r="D10" s="171"/>
      <c r="E10" s="171"/>
      <c r="F10" s="168">
        <f>'Reparto economico'!L8*$C$2/100</f>
        <v>0</v>
      </c>
      <c r="G10" s="168">
        <f t="shared" si="0"/>
        <v>0</v>
      </c>
      <c r="H10" s="169">
        <f t="shared" si="1"/>
        <v>0</v>
      </c>
      <c r="I10" s="169">
        <f t="shared" si="3"/>
        <v>0</v>
      </c>
      <c r="J10" s="170" t="e">
        <f t="shared" si="2"/>
        <v>#DIV/0!</v>
      </c>
    </row>
    <row r="11" spans="1:10">
      <c r="A11" s="53" t="s">
        <v>60</v>
      </c>
      <c r="D11" s="171"/>
      <c r="E11" s="171"/>
      <c r="F11" s="168">
        <f>'Reparto economico'!L9*$C$2/100</f>
        <v>0</v>
      </c>
      <c r="G11" s="168">
        <f t="shared" si="0"/>
        <v>0</v>
      </c>
      <c r="H11" s="169">
        <f t="shared" si="1"/>
        <v>0</v>
      </c>
      <c r="I11" s="169">
        <f t="shared" si="3"/>
        <v>0</v>
      </c>
      <c r="J11" s="170" t="e">
        <f t="shared" si="2"/>
        <v>#DIV/0!</v>
      </c>
    </row>
    <row r="12" spans="1:10">
      <c r="A12" s="53" t="s">
        <v>62</v>
      </c>
      <c r="D12" s="171"/>
      <c r="E12" s="171"/>
      <c r="F12" s="168">
        <f>'Reparto economico'!L10*$C$2/100</f>
        <v>0</v>
      </c>
      <c r="G12" s="168">
        <f t="shared" si="0"/>
        <v>0</v>
      </c>
      <c r="H12" s="169">
        <f t="shared" si="1"/>
        <v>0</v>
      </c>
      <c r="I12" s="169">
        <f t="shared" si="3"/>
        <v>0</v>
      </c>
      <c r="J12" s="170" t="e">
        <f t="shared" si="2"/>
        <v>#DIV/0!</v>
      </c>
    </row>
    <row r="13" spans="1:10">
      <c r="A13" s="53" t="s">
        <v>63</v>
      </c>
      <c r="D13" s="171"/>
      <c r="E13" s="171"/>
      <c r="F13" s="168">
        <f>'Reparto economico'!L11*$C$2/100</f>
        <v>0</v>
      </c>
      <c r="G13" s="168">
        <f t="shared" si="0"/>
        <v>0</v>
      </c>
      <c r="H13" s="169">
        <f t="shared" si="1"/>
        <v>0</v>
      </c>
      <c r="I13" s="169">
        <f t="shared" si="3"/>
        <v>0</v>
      </c>
      <c r="J13" s="170" t="e">
        <f t="shared" si="2"/>
        <v>#DIV/0!</v>
      </c>
    </row>
    <row r="14" spans="1:10">
      <c r="A14" s="53" t="s">
        <v>64</v>
      </c>
      <c r="D14" s="171"/>
      <c r="E14" s="171"/>
      <c r="F14" s="168">
        <f>'Reparto economico'!L12*$C$2/100</f>
        <v>0</v>
      </c>
      <c r="G14" s="168">
        <f t="shared" si="0"/>
        <v>0</v>
      </c>
      <c r="H14" s="169">
        <f t="shared" si="1"/>
        <v>0</v>
      </c>
      <c r="I14" s="169">
        <f t="shared" si="3"/>
        <v>0</v>
      </c>
      <c r="J14" s="170" t="e">
        <f t="shared" si="2"/>
        <v>#DIV/0!</v>
      </c>
    </row>
    <row r="15" spans="1:10">
      <c r="A15" s="53" t="s">
        <v>65</v>
      </c>
      <c r="D15" s="171"/>
      <c r="E15" s="171"/>
      <c r="F15" s="168">
        <f>'Reparto economico'!L13*$C$2/100</f>
        <v>0</v>
      </c>
      <c r="G15" s="168">
        <f t="shared" si="0"/>
        <v>0</v>
      </c>
      <c r="H15" s="169">
        <f t="shared" si="1"/>
        <v>0</v>
      </c>
      <c r="I15" s="169">
        <f t="shared" si="3"/>
        <v>0</v>
      </c>
      <c r="J15" s="170" t="e">
        <f t="shared" si="2"/>
        <v>#DIV/0!</v>
      </c>
    </row>
    <row r="16" spans="1:10">
      <c r="A16" s="53" t="s">
        <v>66</v>
      </c>
      <c r="D16" s="171"/>
      <c r="E16" s="171"/>
      <c r="F16" s="168">
        <f>'Reparto economico'!L14*$C$2/100</f>
        <v>0</v>
      </c>
      <c r="G16" s="168">
        <f t="shared" si="0"/>
        <v>0</v>
      </c>
      <c r="H16" s="169">
        <f t="shared" si="1"/>
        <v>0</v>
      </c>
      <c r="I16" s="169">
        <f t="shared" si="3"/>
        <v>0</v>
      </c>
      <c r="J16" s="170" t="e">
        <f t="shared" si="2"/>
        <v>#DIV/0!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3:E3"/>
  </mergeCells>
  <pageMargins left="0.75" right="0.75" top="1" bottom="1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02"/>
  <sheetViews>
    <sheetView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6" customWidth="1"/>
    <col min="7" max="7" width="5.85546875" customWidth="1"/>
    <col min="8" max="8" width="6.1406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38" width="8.7109375" customWidth="1"/>
  </cols>
  <sheetData>
    <row r="1" spans="1:19">
      <c r="A1" s="167" t="s">
        <v>20</v>
      </c>
      <c r="B1" s="167" t="s">
        <v>21</v>
      </c>
      <c r="C1" s="167" t="s">
        <v>22</v>
      </c>
      <c r="D1" s="167" t="s">
        <v>100</v>
      </c>
      <c r="E1" s="167" t="s">
        <v>24</v>
      </c>
      <c r="F1" s="27"/>
      <c r="G1" s="27"/>
      <c r="H1" s="27"/>
      <c r="I1" s="27"/>
    </row>
    <row r="2" spans="1:19">
      <c r="A2" s="119"/>
      <c r="B2" s="172"/>
      <c r="C2" s="119"/>
      <c r="D2" s="168"/>
      <c r="E2" s="168"/>
      <c r="F2" s="27"/>
      <c r="G2" s="27"/>
      <c r="H2" s="27"/>
      <c r="I2" s="27"/>
    </row>
    <row r="3" spans="1:19">
      <c r="B3" s="209" t="s">
        <v>101</v>
      </c>
      <c r="C3" s="210"/>
      <c r="D3" s="210"/>
      <c r="E3" s="210"/>
      <c r="F3" s="210"/>
      <c r="G3" s="210"/>
      <c r="H3" s="210"/>
      <c r="I3" s="210"/>
    </row>
    <row r="4" spans="1:19">
      <c r="A4" s="167" t="s">
        <v>43</v>
      </c>
      <c r="B4" s="209" t="s">
        <v>102</v>
      </c>
      <c r="C4" s="210"/>
      <c r="D4" s="210"/>
      <c r="E4" s="211" t="s">
        <v>103</v>
      </c>
      <c r="F4" s="212" t="s">
        <v>104</v>
      </c>
      <c r="G4" s="210"/>
      <c r="H4" s="210"/>
      <c r="I4" s="211" t="s">
        <v>105</v>
      </c>
      <c r="J4" s="167" t="s">
        <v>77</v>
      </c>
      <c r="K4" s="167" t="s">
        <v>79</v>
      </c>
      <c r="L4" s="173"/>
      <c r="M4" s="173"/>
      <c r="N4" s="173"/>
      <c r="O4" s="173" t="s">
        <v>108</v>
      </c>
      <c r="P4" s="167" t="s">
        <v>109</v>
      </c>
      <c r="Q4" s="167" t="s">
        <v>80</v>
      </c>
      <c r="R4" s="167" t="s">
        <v>106</v>
      </c>
      <c r="S4" s="167" t="s">
        <v>82</v>
      </c>
    </row>
    <row r="5" spans="1:19">
      <c r="A5" s="122"/>
      <c r="B5" s="122" t="s">
        <v>110</v>
      </c>
      <c r="C5" s="122" t="s">
        <v>111</v>
      </c>
      <c r="D5" s="122" t="s">
        <v>112</v>
      </c>
      <c r="E5" s="205"/>
      <c r="F5" s="122" t="s">
        <v>110</v>
      </c>
      <c r="G5" s="122" t="s">
        <v>111</v>
      </c>
      <c r="H5" s="122" t="s">
        <v>112</v>
      </c>
      <c r="I5" s="205"/>
      <c r="J5" s="122" t="s">
        <v>113</v>
      </c>
      <c r="K5" s="122" t="s">
        <v>113</v>
      </c>
      <c r="L5" s="122" t="s">
        <v>110</v>
      </c>
      <c r="M5" s="122" t="s">
        <v>111</v>
      </c>
      <c r="N5" s="122" t="s">
        <v>112</v>
      </c>
      <c r="O5" s="174"/>
      <c r="P5" s="122"/>
      <c r="Q5" s="122"/>
      <c r="R5" s="122"/>
      <c r="S5" s="122"/>
    </row>
    <row r="6" spans="1:19">
      <c r="A6" s="168" t="s">
        <v>53</v>
      </c>
      <c r="B6" s="175"/>
      <c r="C6" s="175"/>
      <c r="D6" s="175"/>
      <c r="E6" s="175"/>
      <c r="F6" s="168"/>
      <c r="G6" s="168"/>
      <c r="H6" s="168"/>
      <c r="I6" s="168"/>
      <c r="J6" s="168">
        <f>'Reparto economico'!L3*$C$2/100</f>
        <v>0</v>
      </c>
      <c r="K6" s="175">
        <f t="shared" ref="K6:K17" si="0">J6-E6</f>
        <v>0</v>
      </c>
      <c r="L6" s="176">
        <f t="shared" ref="L6:L17" si="1">K6*0.29</f>
        <v>0</v>
      </c>
      <c r="M6" s="168">
        <f t="shared" ref="M6:M17" si="2">K6*0.44</f>
        <v>0</v>
      </c>
      <c r="N6" s="176">
        <f t="shared" ref="N6:N17" si="3">K6*0.27</f>
        <v>0</v>
      </c>
      <c r="O6" s="168">
        <f t="shared" ref="O6:O17" si="4">L6*F6+M6*G6+N6*H6</f>
        <v>0</v>
      </c>
      <c r="P6" s="168">
        <f t="shared" ref="P6:P17" si="5">E6*I6</f>
        <v>0</v>
      </c>
      <c r="Q6" s="168">
        <f t="shared" ref="Q6:Q17" si="6">O6+P6-$E$2</f>
        <v>0</v>
      </c>
      <c r="R6" s="168">
        <f>Q6</f>
        <v>0</v>
      </c>
      <c r="S6" s="177" t="e">
        <f t="shared" ref="S6:S17" si="7">R6/$D$2</f>
        <v>#DIV/0!</v>
      </c>
    </row>
    <row r="7" spans="1:19">
      <c r="A7" s="168" t="s">
        <v>55</v>
      </c>
      <c r="B7" s="175"/>
      <c r="C7" s="175"/>
      <c r="D7" s="175"/>
      <c r="E7" s="175"/>
      <c r="F7" s="168"/>
      <c r="G7" s="168"/>
      <c r="H7" s="168"/>
      <c r="I7" s="168"/>
      <c r="J7" s="168">
        <f>'Reparto economico'!L4*$C$2/100</f>
        <v>0</v>
      </c>
      <c r="K7" s="175">
        <f t="shared" si="0"/>
        <v>0</v>
      </c>
      <c r="L7" s="176">
        <f t="shared" si="1"/>
        <v>0</v>
      </c>
      <c r="M7" s="168">
        <f t="shared" si="2"/>
        <v>0</v>
      </c>
      <c r="N7" s="176">
        <f t="shared" si="3"/>
        <v>0</v>
      </c>
      <c r="O7" s="168">
        <f t="shared" si="4"/>
        <v>0</v>
      </c>
      <c r="P7" s="168">
        <f t="shared" si="5"/>
        <v>0</v>
      </c>
      <c r="Q7" s="168">
        <f t="shared" si="6"/>
        <v>0</v>
      </c>
      <c r="R7" s="168">
        <f t="shared" ref="R7:R17" si="8">Q7+R6</f>
        <v>0</v>
      </c>
      <c r="S7" s="177" t="e">
        <f t="shared" si="7"/>
        <v>#DIV/0!</v>
      </c>
    </row>
    <row r="8" spans="1:19">
      <c r="A8" s="168" t="s">
        <v>56</v>
      </c>
      <c r="B8" s="175"/>
      <c r="C8" s="175"/>
      <c r="D8" s="175"/>
      <c r="E8" s="175"/>
      <c r="F8" s="168"/>
      <c r="G8" s="168"/>
      <c r="H8" s="168"/>
      <c r="I8" s="168"/>
      <c r="J8" s="168">
        <f>'Reparto economico'!L5*$C$2/100</f>
        <v>0</v>
      </c>
      <c r="K8" s="175">
        <f t="shared" si="0"/>
        <v>0</v>
      </c>
      <c r="L8" s="176">
        <f t="shared" si="1"/>
        <v>0</v>
      </c>
      <c r="M8" s="168">
        <f t="shared" si="2"/>
        <v>0</v>
      </c>
      <c r="N8" s="176">
        <f t="shared" si="3"/>
        <v>0</v>
      </c>
      <c r="O8" s="168">
        <f t="shared" si="4"/>
        <v>0</v>
      </c>
      <c r="P8" s="168">
        <f t="shared" si="5"/>
        <v>0</v>
      </c>
      <c r="Q8" s="168">
        <f t="shared" si="6"/>
        <v>0</v>
      </c>
      <c r="R8" s="168">
        <f t="shared" si="8"/>
        <v>0</v>
      </c>
      <c r="S8" s="177" t="e">
        <f t="shared" si="7"/>
        <v>#DIV/0!</v>
      </c>
    </row>
    <row r="9" spans="1:19">
      <c r="A9" s="168" t="s">
        <v>57</v>
      </c>
      <c r="B9" s="175"/>
      <c r="C9" s="175"/>
      <c r="D9" s="175"/>
      <c r="E9" s="175"/>
      <c r="F9" s="168"/>
      <c r="G9" s="168"/>
      <c r="H9" s="168"/>
      <c r="I9" s="168"/>
      <c r="J9" s="168">
        <f>'Reparto economico'!L6*$C$2/100</f>
        <v>0</v>
      </c>
      <c r="K9" s="175">
        <f t="shared" si="0"/>
        <v>0</v>
      </c>
      <c r="L9" s="176">
        <f t="shared" si="1"/>
        <v>0</v>
      </c>
      <c r="M9" s="168">
        <f t="shared" si="2"/>
        <v>0</v>
      </c>
      <c r="N9" s="176">
        <f t="shared" si="3"/>
        <v>0</v>
      </c>
      <c r="O9" s="168">
        <f t="shared" si="4"/>
        <v>0</v>
      </c>
      <c r="P9" s="168">
        <f t="shared" si="5"/>
        <v>0</v>
      </c>
      <c r="Q9" s="168">
        <f t="shared" si="6"/>
        <v>0</v>
      </c>
      <c r="R9" s="168">
        <f t="shared" si="8"/>
        <v>0</v>
      </c>
      <c r="S9" s="177" t="e">
        <f t="shared" si="7"/>
        <v>#DIV/0!</v>
      </c>
    </row>
    <row r="10" spans="1:19">
      <c r="A10" s="53" t="s">
        <v>58</v>
      </c>
      <c r="B10" s="178"/>
      <c r="C10" s="178"/>
      <c r="D10" s="178"/>
      <c r="E10" s="178"/>
      <c r="J10" s="168">
        <f>'Reparto economico'!L7*$C$2/100</f>
        <v>0</v>
      </c>
      <c r="K10" s="175">
        <f t="shared" si="0"/>
        <v>0</v>
      </c>
      <c r="L10" s="176">
        <f t="shared" si="1"/>
        <v>0</v>
      </c>
      <c r="M10" s="168">
        <f t="shared" si="2"/>
        <v>0</v>
      </c>
      <c r="N10" s="176">
        <f t="shared" si="3"/>
        <v>0</v>
      </c>
      <c r="O10" s="168">
        <f t="shared" si="4"/>
        <v>0</v>
      </c>
      <c r="P10" s="168">
        <f t="shared" si="5"/>
        <v>0</v>
      </c>
      <c r="Q10" s="168">
        <f t="shared" si="6"/>
        <v>0</v>
      </c>
      <c r="R10" s="168">
        <f t="shared" si="8"/>
        <v>0</v>
      </c>
      <c r="S10" s="177" t="e">
        <f t="shared" si="7"/>
        <v>#DIV/0!</v>
      </c>
    </row>
    <row r="11" spans="1:19">
      <c r="A11" s="53" t="s">
        <v>59</v>
      </c>
      <c r="B11" s="178"/>
      <c r="C11" s="178"/>
      <c r="D11" s="178"/>
      <c r="E11" s="178"/>
      <c r="J11" s="168">
        <f>'Reparto economico'!L8*$C$2/100</f>
        <v>0</v>
      </c>
      <c r="K11" s="175">
        <f t="shared" si="0"/>
        <v>0</v>
      </c>
      <c r="L11" s="176">
        <f t="shared" si="1"/>
        <v>0</v>
      </c>
      <c r="M11" s="168">
        <f t="shared" si="2"/>
        <v>0</v>
      </c>
      <c r="N11" s="176">
        <f t="shared" si="3"/>
        <v>0</v>
      </c>
      <c r="O11" s="168">
        <f t="shared" si="4"/>
        <v>0</v>
      </c>
      <c r="P11" s="168">
        <f t="shared" si="5"/>
        <v>0</v>
      </c>
      <c r="Q11" s="168">
        <f t="shared" si="6"/>
        <v>0</v>
      </c>
      <c r="R11" s="168">
        <f t="shared" si="8"/>
        <v>0</v>
      </c>
      <c r="S11" s="177" t="e">
        <f t="shared" si="7"/>
        <v>#DIV/0!</v>
      </c>
    </row>
    <row r="12" spans="1:19">
      <c r="A12" s="53" t="s">
        <v>60</v>
      </c>
      <c r="B12" s="178"/>
      <c r="C12" s="178"/>
      <c r="D12" s="178"/>
      <c r="E12" s="178"/>
      <c r="J12" s="168">
        <f>'Reparto economico'!L9*$C$2/100</f>
        <v>0</v>
      </c>
      <c r="K12" s="175">
        <f t="shared" si="0"/>
        <v>0</v>
      </c>
      <c r="L12" s="176">
        <f t="shared" si="1"/>
        <v>0</v>
      </c>
      <c r="M12" s="168">
        <f t="shared" si="2"/>
        <v>0</v>
      </c>
      <c r="N12" s="176">
        <f t="shared" si="3"/>
        <v>0</v>
      </c>
      <c r="O12" s="168">
        <f t="shared" si="4"/>
        <v>0</v>
      </c>
      <c r="P12" s="168">
        <f t="shared" si="5"/>
        <v>0</v>
      </c>
      <c r="Q12" s="168">
        <f t="shared" si="6"/>
        <v>0</v>
      </c>
      <c r="R12" s="168">
        <f t="shared" si="8"/>
        <v>0</v>
      </c>
      <c r="S12" s="177" t="e">
        <f t="shared" si="7"/>
        <v>#DIV/0!</v>
      </c>
    </row>
    <row r="13" spans="1:19">
      <c r="A13" s="53" t="s">
        <v>62</v>
      </c>
      <c r="B13" s="178"/>
      <c r="C13" s="178"/>
      <c r="D13" s="178"/>
      <c r="E13" s="178"/>
      <c r="J13" s="168">
        <f>'Reparto economico'!L10*$C$2/100</f>
        <v>0</v>
      </c>
      <c r="K13" s="175">
        <f t="shared" si="0"/>
        <v>0</v>
      </c>
      <c r="L13" s="176">
        <f t="shared" si="1"/>
        <v>0</v>
      </c>
      <c r="M13" s="168">
        <f t="shared" si="2"/>
        <v>0</v>
      </c>
      <c r="N13" s="176">
        <f t="shared" si="3"/>
        <v>0</v>
      </c>
      <c r="O13" s="168">
        <f t="shared" si="4"/>
        <v>0</v>
      </c>
      <c r="P13" s="168">
        <f t="shared" si="5"/>
        <v>0</v>
      </c>
      <c r="Q13" s="168">
        <f t="shared" si="6"/>
        <v>0</v>
      </c>
      <c r="R13" s="168">
        <f t="shared" si="8"/>
        <v>0</v>
      </c>
      <c r="S13" s="177" t="e">
        <f t="shared" si="7"/>
        <v>#DIV/0!</v>
      </c>
    </row>
    <row r="14" spans="1:19">
      <c r="A14" s="53" t="s">
        <v>63</v>
      </c>
      <c r="B14" s="178"/>
      <c r="C14" s="178"/>
      <c r="D14" s="178"/>
      <c r="E14" s="178"/>
      <c r="J14" s="168">
        <f>'Reparto economico'!L11*$C$2/100</f>
        <v>0</v>
      </c>
      <c r="K14" s="175">
        <f t="shared" si="0"/>
        <v>0</v>
      </c>
      <c r="L14" s="176">
        <f t="shared" si="1"/>
        <v>0</v>
      </c>
      <c r="M14" s="168">
        <f t="shared" si="2"/>
        <v>0</v>
      </c>
      <c r="N14" s="176">
        <f t="shared" si="3"/>
        <v>0</v>
      </c>
      <c r="O14" s="168">
        <f t="shared" si="4"/>
        <v>0</v>
      </c>
      <c r="P14" s="168">
        <f t="shared" si="5"/>
        <v>0</v>
      </c>
      <c r="Q14" s="168">
        <f t="shared" si="6"/>
        <v>0</v>
      </c>
      <c r="R14" s="168">
        <f t="shared" si="8"/>
        <v>0</v>
      </c>
      <c r="S14" s="177" t="e">
        <f t="shared" si="7"/>
        <v>#DIV/0!</v>
      </c>
    </row>
    <row r="15" spans="1:19">
      <c r="A15" s="53" t="s">
        <v>64</v>
      </c>
      <c r="B15" s="178"/>
      <c r="C15" s="178"/>
      <c r="D15" s="178"/>
      <c r="E15" s="178"/>
      <c r="J15" s="168">
        <f>'Reparto economico'!L12*$C$2/100</f>
        <v>0</v>
      </c>
      <c r="K15" s="175">
        <f t="shared" si="0"/>
        <v>0</v>
      </c>
      <c r="L15" s="176">
        <f t="shared" si="1"/>
        <v>0</v>
      </c>
      <c r="M15" s="168">
        <f t="shared" si="2"/>
        <v>0</v>
      </c>
      <c r="N15" s="176">
        <f t="shared" si="3"/>
        <v>0</v>
      </c>
      <c r="O15" s="168">
        <f t="shared" si="4"/>
        <v>0</v>
      </c>
      <c r="P15" s="168">
        <f t="shared" si="5"/>
        <v>0</v>
      </c>
      <c r="Q15" s="168">
        <f t="shared" si="6"/>
        <v>0</v>
      </c>
      <c r="R15" s="168">
        <f t="shared" si="8"/>
        <v>0</v>
      </c>
      <c r="S15" s="177" t="e">
        <f t="shared" si="7"/>
        <v>#DIV/0!</v>
      </c>
    </row>
    <row r="16" spans="1:19">
      <c r="A16" s="53" t="s">
        <v>65</v>
      </c>
      <c r="B16" s="178"/>
      <c r="C16" s="178"/>
      <c r="D16" s="178"/>
      <c r="E16" s="178"/>
      <c r="J16" s="168">
        <f>'Reparto economico'!L13*$C$2/100</f>
        <v>0</v>
      </c>
      <c r="K16" s="175">
        <f t="shared" si="0"/>
        <v>0</v>
      </c>
      <c r="L16" s="176">
        <f t="shared" si="1"/>
        <v>0</v>
      </c>
      <c r="M16" s="168">
        <f t="shared" si="2"/>
        <v>0</v>
      </c>
      <c r="N16" s="176">
        <f t="shared" si="3"/>
        <v>0</v>
      </c>
      <c r="O16" s="168">
        <f t="shared" si="4"/>
        <v>0</v>
      </c>
      <c r="P16" s="168">
        <f t="shared" si="5"/>
        <v>0</v>
      </c>
      <c r="Q16" s="168">
        <f t="shared" si="6"/>
        <v>0</v>
      </c>
      <c r="R16" s="168">
        <f t="shared" si="8"/>
        <v>0</v>
      </c>
      <c r="S16" s="177" t="e">
        <f t="shared" si="7"/>
        <v>#DIV/0!</v>
      </c>
    </row>
    <row r="17" spans="1:19">
      <c r="A17" s="53" t="s">
        <v>66</v>
      </c>
      <c r="B17" s="178"/>
      <c r="C17" s="178"/>
      <c r="D17" s="178"/>
      <c r="E17" s="178"/>
      <c r="J17" s="168">
        <f>'Reparto economico'!L14*$C$2/100</f>
        <v>0</v>
      </c>
      <c r="K17" s="175">
        <f t="shared" si="0"/>
        <v>0</v>
      </c>
      <c r="L17" s="176">
        <f t="shared" si="1"/>
        <v>0</v>
      </c>
      <c r="M17" s="168">
        <f t="shared" si="2"/>
        <v>0</v>
      </c>
      <c r="N17" s="176">
        <f t="shared" si="3"/>
        <v>0</v>
      </c>
      <c r="O17" s="168">
        <f t="shared" si="4"/>
        <v>0</v>
      </c>
      <c r="P17" s="168">
        <f t="shared" si="5"/>
        <v>0</v>
      </c>
      <c r="Q17" s="168">
        <f t="shared" si="6"/>
        <v>0</v>
      </c>
      <c r="R17" s="168">
        <f t="shared" si="8"/>
        <v>0</v>
      </c>
      <c r="S17" s="177" t="e">
        <f t="shared" si="7"/>
        <v>#DIV/0!</v>
      </c>
    </row>
    <row r="23" spans="1:19" ht="15.75" customHeight="1"/>
    <row r="24" spans="1:19" ht="15.75" customHeight="1"/>
    <row r="25" spans="1:19" ht="15.75" customHeight="1"/>
    <row r="26" spans="1:19" ht="15.75" customHeight="1"/>
    <row r="27" spans="1:19" ht="15.75" customHeight="1"/>
    <row r="28" spans="1:19" ht="15.75" customHeight="1"/>
    <row r="29" spans="1:19" ht="15.75" customHeight="1"/>
    <row r="30" spans="1:19" ht="15.75" customHeight="1"/>
    <row r="31" spans="1:19" ht="15.75" customHeight="1"/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B3:I3"/>
    <mergeCell ref="B4:D4"/>
    <mergeCell ref="E4:E5"/>
    <mergeCell ref="F4:H4"/>
    <mergeCell ref="I4:I5"/>
  </mergeCells>
  <pageMargins left="0.75" right="0.75" top="1" bottom="1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001"/>
  <sheetViews>
    <sheetView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29" width="8.7109375" customWidth="1"/>
  </cols>
  <sheetData>
    <row r="1" spans="1:10">
      <c r="A1" s="167" t="s">
        <v>20</v>
      </c>
      <c r="B1" s="167" t="s">
        <v>21</v>
      </c>
      <c r="C1" s="167" t="s">
        <v>22</v>
      </c>
      <c r="D1" s="167" t="s">
        <v>100</v>
      </c>
      <c r="E1" s="167" t="s">
        <v>24</v>
      </c>
    </row>
    <row r="2" spans="1:10">
      <c r="A2" s="119">
        <v>1</v>
      </c>
      <c r="B2" s="172" t="s">
        <v>26</v>
      </c>
      <c r="C2" s="119">
        <v>40</v>
      </c>
      <c r="D2" s="168">
        <v>4000</v>
      </c>
      <c r="E2" s="168">
        <f>16</f>
        <v>16</v>
      </c>
    </row>
    <row r="3" spans="1:10">
      <c r="B3" s="209" t="s">
        <v>101</v>
      </c>
      <c r="C3" s="210"/>
      <c r="D3" s="210"/>
      <c r="E3" s="210"/>
      <c r="F3" s="210"/>
      <c r="G3" s="210"/>
    </row>
    <row r="4" spans="1:10">
      <c r="A4" s="167" t="s">
        <v>43</v>
      </c>
      <c r="B4" s="167" t="s">
        <v>102</v>
      </c>
      <c r="C4" s="167" t="s">
        <v>103</v>
      </c>
      <c r="D4" s="167" t="s">
        <v>104</v>
      </c>
      <c r="E4" s="167" t="s">
        <v>105</v>
      </c>
      <c r="F4" s="167" t="s">
        <v>77</v>
      </c>
      <c r="G4" s="167" t="s">
        <v>79</v>
      </c>
      <c r="H4" s="167" t="s">
        <v>80</v>
      </c>
      <c r="I4" s="167" t="s">
        <v>106</v>
      </c>
      <c r="J4" s="167" t="s">
        <v>82</v>
      </c>
    </row>
    <row r="5" spans="1:10">
      <c r="A5" s="168" t="s">
        <v>53</v>
      </c>
      <c r="B5" s="168">
        <v>950</v>
      </c>
      <c r="C5" s="168">
        <v>50</v>
      </c>
      <c r="D5" s="168">
        <v>0.2</v>
      </c>
      <c r="E5" s="168">
        <v>0.1</v>
      </c>
      <c r="F5" s="168">
        <v>220</v>
      </c>
      <c r="G5" s="168">
        <v>170</v>
      </c>
      <c r="H5" s="168">
        <f t="shared" ref="H5:H16" si="0">(G5*D5+C5*E5)-$E$2</f>
        <v>23</v>
      </c>
      <c r="I5" s="168">
        <f>H5</f>
        <v>23</v>
      </c>
      <c r="J5" s="177">
        <f t="shared" ref="J5:J16" si="1">I5/$D$2</f>
        <v>5.7499999999999999E-3</v>
      </c>
    </row>
    <row r="6" spans="1:10">
      <c r="A6" s="168" t="s">
        <v>55</v>
      </c>
      <c r="B6" s="168">
        <v>850</v>
      </c>
      <c r="C6" s="168">
        <v>70</v>
      </c>
      <c r="D6" s="168">
        <v>0.2</v>
      </c>
      <c r="E6" s="168">
        <v>0.1</v>
      </c>
      <c r="F6" s="168">
        <v>260</v>
      </c>
      <c r="G6" s="168">
        <v>190</v>
      </c>
      <c r="H6" s="168">
        <f t="shared" si="0"/>
        <v>29</v>
      </c>
      <c r="I6" s="168">
        <f t="shared" ref="I6:I16" si="2">H6+I5</f>
        <v>52</v>
      </c>
      <c r="J6" s="177">
        <f t="shared" si="1"/>
        <v>1.2999999999999999E-2</v>
      </c>
    </row>
    <row r="7" spans="1:10">
      <c r="A7" s="168" t="s">
        <v>56</v>
      </c>
      <c r="B7" s="168">
        <v>700</v>
      </c>
      <c r="C7" s="168">
        <v>90</v>
      </c>
      <c r="D7" s="168">
        <v>0.2</v>
      </c>
      <c r="E7" s="168">
        <v>0.1</v>
      </c>
      <c r="F7" s="168">
        <v>400</v>
      </c>
      <c r="G7" s="168">
        <v>310</v>
      </c>
      <c r="H7" s="168">
        <f t="shared" si="0"/>
        <v>55</v>
      </c>
      <c r="I7" s="168">
        <f t="shared" si="2"/>
        <v>107</v>
      </c>
      <c r="J7" s="177">
        <f t="shared" si="1"/>
        <v>2.6749999999999999E-2</v>
      </c>
    </row>
    <row r="8" spans="1:10">
      <c r="A8" s="168" t="s">
        <v>57</v>
      </c>
      <c r="B8" s="168">
        <v>600</v>
      </c>
      <c r="C8" s="168">
        <v>100</v>
      </c>
      <c r="D8" s="168">
        <v>0.2</v>
      </c>
      <c r="E8" s="168">
        <v>0.1</v>
      </c>
      <c r="F8" s="168">
        <v>500</v>
      </c>
      <c r="G8" s="168">
        <v>400</v>
      </c>
      <c r="H8" s="168">
        <f t="shared" si="0"/>
        <v>74</v>
      </c>
      <c r="I8" s="168">
        <f t="shared" si="2"/>
        <v>181</v>
      </c>
      <c r="J8" s="177">
        <f t="shared" si="1"/>
        <v>4.5249999999999999E-2</v>
      </c>
    </row>
    <row r="9" spans="1:10">
      <c r="A9" s="53" t="s">
        <v>58</v>
      </c>
      <c r="H9" s="168">
        <f t="shared" si="0"/>
        <v>-16</v>
      </c>
      <c r="I9" s="168">
        <f t="shared" si="2"/>
        <v>165</v>
      </c>
      <c r="J9" s="177">
        <f t="shared" si="1"/>
        <v>4.1250000000000002E-2</v>
      </c>
    </row>
    <row r="10" spans="1:10">
      <c r="A10" s="53" t="s">
        <v>59</v>
      </c>
      <c r="H10" s="168">
        <f t="shared" si="0"/>
        <v>-16</v>
      </c>
      <c r="I10" s="168">
        <f t="shared" si="2"/>
        <v>149</v>
      </c>
      <c r="J10" s="177">
        <f t="shared" si="1"/>
        <v>3.7249999999999998E-2</v>
      </c>
    </row>
    <row r="11" spans="1:10">
      <c r="A11" s="53" t="s">
        <v>60</v>
      </c>
      <c r="H11" s="168">
        <f t="shared" si="0"/>
        <v>-16</v>
      </c>
      <c r="I11" s="168">
        <f t="shared" si="2"/>
        <v>133</v>
      </c>
      <c r="J11" s="177">
        <f t="shared" si="1"/>
        <v>3.3250000000000002E-2</v>
      </c>
    </row>
    <row r="12" spans="1:10">
      <c r="A12" s="53" t="s">
        <v>62</v>
      </c>
      <c r="H12" s="168">
        <f t="shared" si="0"/>
        <v>-16</v>
      </c>
      <c r="I12" s="168">
        <f t="shared" si="2"/>
        <v>117</v>
      </c>
      <c r="J12" s="177">
        <f t="shared" si="1"/>
        <v>2.9250000000000002E-2</v>
      </c>
    </row>
    <row r="13" spans="1:10">
      <c r="A13" s="53" t="s">
        <v>63</v>
      </c>
      <c r="H13" s="168">
        <f t="shared" si="0"/>
        <v>-16</v>
      </c>
      <c r="I13" s="168">
        <f t="shared" si="2"/>
        <v>101</v>
      </c>
      <c r="J13" s="177">
        <f t="shared" si="1"/>
        <v>2.5250000000000002E-2</v>
      </c>
    </row>
    <row r="14" spans="1:10">
      <c r="A14" s="53" t="s">
        <v>64</v>
      </c>
      <c r="H14" s="168">
        <f t="shared" si="0"/>
        <v>-16</v>
      </c>
      <c r="I14" s="168">
        <f t="shared" si="2"/>
        <v>85</v>
      </c>
      <c r="J14" s="177">
        <f t="shared" si="1"/>
        <v>2.1250000000000002E-2</v>
      </c>
    </row>
    <row r="15" spans="1:10">
      <c r="A15" s="53" t="s">
        <v>65</v>
      </c>
      <c r="H15" s="168">
        <f t="shared" si="0"/>
        <v>-16</v>
      </c>
      <c r="I15" s="168">
        <f t="shared" si="2"/>
        <v>69</v>
      </c>
      <c r="J15" s="177">
        <f t="shared" si="1"/>
        <v>1.7250000000000001E-2</v>
      </c>
    </row>
    <row r="16" spans="1:10">
      <c r="A16" s="53" t="s">
        <v>66</v>
      </c>
      <c r="H16" s="168">
        <f t="shared" si="0"/>
        <v>-16</v>
      </c>
      <c r="I16" s="168">
        <f t="shared" si="2"/>
        <v>53</v>
      </c>
      <c r="J16" s="177">
        <f t="shared" si="1"/>
        <v>1.325E-2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3:G3"/>
  </mergeCells>
  <pageMargins left="0.75" right="0.75" top="1" bottom="1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002"/>
  <sheetViews>
    <sheetView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6" customWidth="1"/>
    <col min="7" max="7" width="5.85546875" customWidth="1"/>
    <col min="8" max="8" width="6.1406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38" width="8.7109375" customWidth="1"/>
  </cols>
  <sheetData>
    <row r="1" spans="1:19">
      <c r="A1" s="167" t="s">
        <v>20</v>
      </c>
      <c r="B1" s="167" t="s">
        <v>21</v>
      </c>
      <c r="C1" s="167" t="s">
        <v>22</v>
      </c>
      <c r="D1" s="167" t="s">
        <v>100</v>
      </c>
      <c r="E1" s="167" t="s">
        <v>24</v>
      </c>
      <c r="F1" s="27"/>
      <c r="G1" s="27"/>
      <c r="H1" s="27"/>
      <c r="I1" s="27"/>
    </row>
    <row r="2" spans="1:19">
      <c r="A2" s="119">
        <v>2</v>
      </c>
      <c r="B2" s="172" t="s">
        <v>27</v>
      </c>
      <c r="C2" s="119">
        <v>30</v>
      </c>
      <c r="D2" s="168">
        <v>3000</v>
      </c>
      <c r="E2" s="168">
        <v>12</v>
      </c>
      <c r="F2" s="27"/>
      <c r="G2" s="27"/>
      <c r="H2" s="27"/>
      <c r="I2" s="27"/>
    </row>
    <row r="3" spans="1:19">
      <c r="B3" s="209" t="s">
        <v>101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1:19">
      <c r="A4" s="167" t="s">
        <v>43</v>
      </c>
      <c r="B4" s="209" t="s">
        <v>102</v>
      </c>
      <c r="C4" s="210"/>
      <c r="D4" s="210"/>
      <c r="E4" s="211" t="s">
        <v>103</v>
      </c>
      <c r="F4" s="212" t="s">
        <v>104</v>
      </c>
      <c r="G4" s="210"/>
      <c r="H4" s="210"/>
      <c r="I4" s="211" t="s">
        <v>105</v>
      </c>
      <c r="J4" s="167" t="s">
        <v>77</v>
      </c>
      <c r="K4" s="167" t="s">
        <v>79</v>
      </c>
      <c r="L4" s="173"/>
      <c r="M4" s="173"/>
      <c r="N4" s="173"/>
      <c r="O4" s="173" t="s">
        <v>108</v>
      </c>
      <c r="P4" s="167" t="s">
        <v>109</v>
      </c>
      <c r="Q4" s="167" t="s">
        <v>80</v>
      </c>
      <c r="R4" s="167" t="s">
        <v>106</v>
      </c>
      <c r="S4" s="167" t="s">
        <v>82</v>
      </c>
    </row>
    <row r="5" spans="1:19">
      <c r="A5" s="122"/>
      <c r="B5" s="122" t="s">
        <v>110</v>
      </c>
      <c r="C5" s="122" t="s">
        <v>111</v>
      </c>
      <c r="D5" s="122" t="s">
        <v>112</v>
      </c>
      <c r="E5" s="205"/>
      <c r="F5" s="122" t="s">
        <v>110</v>
      </c>
      <c r="G5" s="122" t="s">
        <v>111</v>
      </c>
      <c r="H5" s="122" t="s">
        <v>112</v>
      </c>
      <c r="I5" s="205"/>
      <c r="J5" s="122" t="s">
        <v>113</v>
      </c>
      <c r="K5" s="122" t="s">
        <v>113</v>
      </c>
      <c r="L5" s="122" t="s">
        <v>110</v>
      </c>
      <c r="M5" s="122" t="s">
        <v>111</v>
      </c>
      <c r="N5" s="122" t="s">
        <v>112</v>
      </c>
      <c r="O5" s="174"/>
      <c r="P5" s="122"/>
      <c r="Q5" s="122"/>
      <c r="R5" s="122"/>
      <c r="S5" s="122"/>
    </row>
    <row r="6" spans="1:19">
      <c r="A6" s="168" t="s">
        <v>53</v>
      </c>
      <c r="B6" s="168">
        <v>950</v>
      </c>
      <c r="C6" s="168">
        <v>950</v>
      </c>
      <c r="D6" s="168">
        <v>950</v>
      </c>
      <c r="E6" s="168">
        <v>50</v>
      </c>
      <c r="F6" s="168">
        <v>0.2</v>
      </c>
      <c r="G6" s="168">
        <v>0.2</v>
      </c>
      <c r="H6" s="168">
        <v>0.2</v>
      </c>
      <c r="I6" s="168">
        <v>0.1</v>
      </c>
      <c r="J6" s="168">
        <v>165</v>
      </c>
      <c r="K6" s="168">
        <v>115</v>
      </c>
      <c r="L6" s="176">
        <f t="shared" ref="L6:L9" si="0">K6*0.29</f>
        <v>33.349999999999994</v>
      </c>
      <c r="M6" s="168">
        <f t="shared" ref="M6:M9" si="1">K6*0.44</f>
        <v>50.6</v>
      </c>
      <c r="N6" s="176">
        <f t="shared" ref="N6:N9" si="2">K6*0.27</f>
        <v>31.05</v>
      </c>
      <c r="O6" s="168">
        <f t="shared" ref="O6:O17" si="3">L6*F6+M6*G6+N6*H6</f>
        <v>23</v>
      </c>
      <c r="P6" s="168">
        <f t="shared" ref="P6:P17" si="4">E6*I6</f>
        <v>5</v>
      </c>
      <c r="Q6" s="168">
        <f t="shared" ref="Q6:Q17" si="5">O6+P6-$E$2</f>
        <v>16</v>
      </c>
      <c r="R6" s="168">
        <f>Q6</f>
        <v>16</v>
      </c>
      <c r="S6" s="177">
        <f t="shared" ref="S6:S17" si="6">R6/$D$2</f>
        <v>5.3333333333333332E-3</v>
      </c>
    </row>
    <row r="7" spans="1:19">
      <c r="A7" s="168" t="s">
        <v>55</v>
      </c>
      <c r="B7" s="168">
        <v>850</v>
      </c>
      <c r="C7" s="168">
        <v>850</v>
      </c>
      <c r="D7" s="168">
        <v>850</v>
      </c>
      <c r="E7" s="168">
        <v>70</v>
      </c>
      <c r="F7" s="168">
        <v>0.2</v>
      </c>
      <c r="G7" s="168">
        <v>0.2</v>
      </c>
      <c r="H7" s="168">
        <v>0.2</v>
      </c>
      <c r="I7" s="168">
        <v>0.1</v>
      </c>
      <c r="J7" s="168">
        <v>195</v>
      </c>
      <c r="K7" s="168">
        <v>125</v>
      </c>
      <c r="L7" s="176">
        <f t="shared" si="0"/>
        <v>36.25</v>
      </c>
      <c r="M7" s="168">
        <f t="shared" si="1"/>
        <v>55</v>
      </c>
      <c r="N7" s="176">
        <f t="shared" si="2"/>
        <v>33.75</v>
      </c>
      <c r="O7" s="168">
        <f t="shared" si="3"/>
        <v>25</v>
      </c>
      <c r="P7" s="168">
        <f t="shared" si="4"/>
        <v>7</v>
      </c>
      <c r="Q7" s="168">
        <f t="shared" si="5"/>
        <v>20</v>
      </c>
      <c r="R7" s="168">
        <f t="shared" ref="R7:R17" si="7">Q7+R6</f>
        <v>36</v>
      </c>
      <c r="S7" s="177">
        <f t="shared" si="6"/>
        <v>1.2E-2</v>
      </c>
    </row>
    <row r="8" spans="1:19">
      <c r="A8" s="168" t="s">
        <v>56</v>
      </c>
      <c r="B8" s="168">
        <v>700</v>
      </c>
      <c r="C8" s="168">
        <v>700</v>
      </c>
      <c r="D8" s="168">
        <v>700</v>
      </c>
      <c r="E8" s="168">
        <v>90</v>
      </c>
      <c r="F8" s="168">
        <v>0.2</v>
      </c>
      <c r="G8" s="168">
        <v>0.2</v>
      </c>
      <c r="H8" s="168">
        <v>0.2</v>
      </c>
      <c r="I8" s="168">
        <v>0.1</v>
      </c>
      <c r="J8" s="168">
        <v>300</v>
      </c>
      <c r="K8" s="168">
        <v>210</v>
      </c>
      <c r="L8" s="176">
        <f t="shared" si="0"/>
        <v>60.9</v>
      </c>
      <c r="M8" s="168">
        <f t="shared" si="1"/>
        <v>92.4</v>
      </c>
      <c r="N8" s="176">
        <f t="shared" si="2"/>
        <v>56.7</v>
      </c>
      <c r="O8" s="168">
        <f t="shared" si="3"/>
        <v>42</v>
      </c>
      <c r="P8" s="168">
        <f t="shared" si="4"/>
        <v>9</v>
      </c>
      <c r="Q8" s="168">
        <f t="shared" si="5"/>
        <v>39</v>
      </c>
      <c r="R8" s="168">
        <f t="shared" si="7"/>
        <v>75</v>
      </c>
      <c r="S8" s="177">
        <f t="shared" si="6"/>
        <v>2.5000000000000001E-2</v>
      </c>
    </row>
    <row r="9" spans="1:19">
      <c r="A9" s="168" t="s">
        <v>57</v>
      </c>
      <c r="B9" s="168">
        <v>600</v>
      </c>
      <c r="C9" s="168">
        <v>600</v>
      </c>
      <c r="D9" s="168">
        <v>600</v>
      </c>
      <c r="E9" s="168">
        <v>100</v>
      </c>
      <c r="F9" s="168">
        <v>0.2</v>
      </c>
      <c r="G9" s="168">
        <v>0.2</v>
      </c>
      <c r="H9" s="168">
        <v>0.2</v>
      </c>
      <c r="I9" s="168">
        <v>0.1</v>
      </c>
      <c r="J9" s="168">
        <v>375</v>
      </c>
      <c r="K9" s="168">
        <v>275</v>
      </c>
      <c r="L9" s="176">
        <f t="shared" si="0"/>
        <v>79.75</v>
      </c>
      <c r="M9" s="168">
        <f t="shared" si="1"/>
        <v>121</v>
      </c>
      <c r="N9" s="176">
        <f t="shared" si="2"/>
        <v>74.25</v>
      </c>
      <c r="O9" s="168">
        <f t="shared" si="3"/>
        <v>55.000000000000007</v>
      </c>
      <c r="P9" s="168">
        <f t="shared" si="4"/>
        <v>10</v>
      </c>
      <c r="Q9" s="168">
        <f t="shared" si="5"/>
        <v>53</v>
      </c>
      <c r="R9" s="168">
        <f t="shared" si="7"/>
        <v>128</v>
      </c>
      <c r="S9" s="177">
        <f t="shared" si="6"/>
        <v>4.2666666666666665E-2</v>
      </c>
    </row>
    <row r="10" spans="1:19">
      <c r="A10" s="53" t="s">
        <v>58</v>
      </c>
      <c r="O10" s="168">
        <f t="shared" si="3"/>
        <v>0</v>
      </c>
      <c r="P10" s="168">
        <f t="shared" si="4"/>
        <v>0</v>
      </c>
      <c r="Q10" s="168">
        <f t="shared" si="5"/>
        <v>-12</v>
      </c>
      <c r="R10" s="168">
        <f t="shared" si="7"/>
        <v>116</v>
      </c>
      <c r="S10" s="177">
        <f t="shared" si="6"/>
        <v>3.8666666666666669E-2</v>
      </c>
    </row>
    <row r="11" spans="1:19">
      <c r="A11" s="53" t="s">
        <v>59</v>
      </c>
      <c r="O11" s="168">
        <f t="shared" si="3"/>
        <v>0</v>
      </c>
      <c r="P11" s="168">
        <f t="shared" si="4"/>
        <v>0</v>
      </c>
      <c r="Q11" s="168">
        <f t="shared" si="5"/>
        <v>-12</v>
      </c>
      <c r="R11" s="168">
        <f t="shared" si="7"/>
        <v>104</v>
      </c>
      <c r="S11" s="177">
        <f t="shared" si="6"/>
        <v>3.4666666666666665E-2</v>
      </c>
    </row>
    <row r="12" spans="1:19">
      <c r="A12" s="53" t="s">
        <v>60</v>
      </c>
      <c r="O12" s="168">
        <f t="shared" si="3"/>
        <v>0</v>
      </c>
      <c r="P12" s="168">
        <f t="shared" si="4"/>
        <v>0</v>
      </c>
      <c r="Q12" s="168">
        <f t="shared" si="5"/>
        <v>-12</v>
      </c>
      <c r="R12" s="168">
        <f t="shared" si="7"/>
        <v>92</v>
      </c>
      <c r="S12" s="177">
        <f t="shared" si="6"/>
        <v>3.0666666666666665E-2</v>
      </c>
    </row>
    <row r="13" spans="1:19">
      <c r="A13" s="53" t="s">
        <v>62</v>
      </c>
      <c r="O13" s="168">
        <f t="shared" si="3"/>
        <v>0</v>
      </c>
      <c r="P13" s="168">
        <f t="shared" si="4"/>
        <v>0</v>
      </c>
      <c r="Q13" s="168">
        <f t="shared" si="5"/>
        <v>-12</v>
      </c>
      <c r="R13" s="168">
        <f t="shared" si="7"/>
        <v>80</v>
      </c>
      <c r="S13" s="177">
        <f t="shared" si="6"/>
        <v>2.6666666666666668E-2</v>
      </c>
    </row>
    <row r="14" spans="1:19">
      <c r="A14" s="53" t="s">
        <v>63</v>
      </c>
      <c r="O14" s="168">
        <f t="shared" si="3"/>
        <v>0</v>
      </c>
      <c r="P14" s="168">
        <f t="shared" si="4"/>
        <v>0</v>
      </c>
      <c r="Q14" s="168">
        <f t="shared" si="5"/>
        <v>-12</v>
      </c>
      <c r="R14" s="168">
        <f t="shared" si="7"/>
        <v>68</v>
      </c>
      <c r="S14" s="177">
        <f t="shared" si="6"/>
        <v>2.2666666666666668E-2</v>
      </c>
    </row>
    <row r="15" spans="1:19">
      <c r="A15" s="53" t="s">
        <v>64</v>
      </c>
      <c r="O15" s="168">
        <f t="shared" si="3"/>
        <v>0</v>
      </c>
      <c r="P15" s="168">
        <f t="shared" si="4"/>
        <v>0</v>
      </c>
      <c r="Q15" s="168">
        <f t="shared" si="5"/>
        <v>-12</v>
      </c>
      <c r="R15" s="168">
        <f t="shared" si="7"/>
        <v>56</v>
      </c>
      <c r="S15" s="177">
        <f t="shared" si="6"/>
        <v>1.8666666666666668E-2</v>
      </c>
    </row>
    <row r="16" spans="1:19">
      <c r="A16" s="53" t="s">
        <v>65</v>
      </c>
      <c r="O16" s="168">
        <f t="shared" si="3"/>
        <v>0</v>
      </c>
      <c r="P16" s="168">
        <f t="shared" si="4"/>
        <v>0</v>
      </c>
      <c r="Q16" s="168">
        <f t="shared" si="5"/>
        <v>-12</v>
      </c>
      <c r="R16" s="168">
        <f t="shared" si="7"/>
        <v>44</v>
      </c>
      <c r="S16" s="177">
        <f t="shared" si="6"/>
        <v>1.4666666666666666E-2</v>
      </c>
    </row>
    <row r="17" spans="1:19">
      <c r="A17" s="53" t="s">
        <v>66</v>
      </c>
      <c r="O17" s="168">
        <f t="shared" si="3"/>
        <v>0</v>
      </c>
      <c r="P17" s="168">
        <f t="shared" si="4"/>
        <v>0</v>
      </c>
      <c r="Q17" s="168">
        <f t="shared" si="5"/>
        <v>-12</v>
      </c>
      <c r="R17" s="168">
        <f t="shared" si="7"/>
        <v>32</v>
      </c>
      <c r="S17" s="177">
        <f t="shared" si="6"/>
        <v>1.0666666666666666E-2</v>
      </c>
    </row>
    <row r="23" spans="1:19" ht="15.75" customHeight="1"/>
    <row r="24" spans="1:19" ht="15.75" customHeight="1"/>
    <row r="25" spans="1:19" ht="15.75" customHeight="1"/>
    <row r="26" spans="1:19" ht="15.75" customHeight="1"/>
    <row r="27" spans="1:19" ht="15.75" customHeight="1"/>
    <row r="28" spans="1:19" ht="15.75" customHeight="1"/>
    <row r="29" spans="1:19" ht="15.75" customHeight="1"/>
    <row r="30" spans="1:19" ht="15.75" customHeight="1"/>
    <row r="31" spans="1:19" ht="15.75" customHeight="1"/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B3:K3"/>
    <mergeCell ref="B4:D4"/>
    <mergeCell ref="E4:E5"/>
    <mergeCell ref="F4:H4"/>
    <mergeCell ref="I4:I5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13.140625" customWidth="1"/>
    <col min="3" max="3" width="14.140625" customWidth="1"/>
    <col min="4" max="4" width="19.140625" customWidth="1"/>
    <col min="5" max="5" width="17" customWidth="1"/>
    <col min="6" max="6" width="20.28515625" customWidth="1"/>
  </cols>
  <sheetData>
    <row r="1" spans="1:6">
      <c r="A1" s="20" t="s">
        <v>20</v>
      </c>
      <c r="B1" s="20" t="s">
        <v>21</v>
      </c>
      <c r="C1" s="20" t="s">
        <v>22</v>
      </c>
      <c r="D1" s="20" t="s">
        <v>23</v>
      </c>
      <c r="E1" s="20" t="s">
        <v>24</v>
      </c>
      <c r="F1" s="20" t="s">
        <v>25</v>
      </c>
    </row>
    <row r="2" spans="1:6">
      <c r="A2" s="21">
        <v>1</v>
      </c>
      <c r="B2" s="22" t="s">
        <v>26</v>
      </c>
      <c r="C2" s="22">
        <v>10</v>
      </c>
      <c r="D2" s="23">
        <f>C2*'Datos generales'!$B$2/100</f>
        <v>2000</v>
      </c>
      <c r="E2" s="23">
        <f>C2*'Datos generales'!$B$3/100</f>
        <v>8</v>
      </c>
      <c r="F2" s="24">
        <f>'Datos generales'!$B$4*C2/100</f>
        <v>2</v>
      </c>
    </row>
    <row r="3" spans="1:6">
      <c r="A3" s="21">
        <v>2</v>
      </c>
      <c r="B3" s="25" t="s">
        <v>27</v>
      </c>
      <c r="C3" s="25">
        <v>15</v>
      </c>
      <c r="D3" s="23">
        <f>C3*'Datos generales'!$B$2/100</f>
        <v>3000</v>
      </c>
      <c r="E3" s="23">
        <f>C3*'Datos generales'!$B$3/100</f>
        <v>12</v>
      </c>
      <c r="F3" s="24">
        <f>'Datos generales'!$B$4*C3/100</f>
        <v>3</v>
      </c>
    </row>
    <row r="4" spans="1:6">
      <c r="A4" s="21">
        <v>3</v>
      </c>
      <c r="B4" s="25" t="s">
        <v>28</v>
      </c>
      <c r="C4" s="25">
        <v>5</v>
      </c>
      <c r="D4" s="23">
        <f>C4*'Datos generales'!$B$2/100</f>
        <v>1000</v>
      </c>
      <c r="E4" s="23">
        <f>C4*'Datos generales'!$B$3/100</f>
        <v>4</v>
      </c>
      <c r="F4" s="24">
        <f>'Datos generales'!$B$4*C4/100</f>
        <v>1</v>
      </c>
    </row>
    <row r="5" spans="1:6">
      <c r="A5" s="21">
        <v>4</v>
      </c>
      <c r="B5" s="26" t="s">
        <v>29</v>
      </c>
      <c r="C5" s="26">
        <v>15</v>
      </c>
      <c r="D5" s="23">
        <f>C5*'Datos generales'!$B$2/100</f>
        <v>3000</v>
      </c>
      <c r="E5" s="23">
        <f>C5*'Datos generales'!$B$3/100</f>
        <v>12</v>
      </c>
      <c r="F5" s="24">
        <f>'Datos generales'!$B$4*C5/100</f>
        <v>3</v>
      </c>
    </row>
    <row r="6" spans="1:6">
      <c r="A6" s="21">
        <v>5</v>
      </c>
      <c r="B6" s="26" t="s">
        <v>30</v>
      </c>
      <c r="C6" s="26">
        <v>5</v>
      </c>
      <c r="D6" s="23">
        <f>C6*'Datos generales'!$B$2/100</f>
        <v>1000</v>
      </c>
      <c r="E6" s="23">
        <f>C6*'Datos generales'!$B$3/100</f>
        <v>4</v>
      </c>
      <c r="F6" s="24">
        <f>'Datos generales'!$B$4*C6/100</f>
        <v>1</v>
      </c>
    </row>
    <row r="7" spans="1:6">
      <c r="A7" s="21">
        <v>6</v>
      </c>
      <c r="B7" s="26" t="s">
        <v>31</v>
      </c>
      <c r="C7" s="26">
        <v>10</v>
      </c>
      <c r="D7" s="23">
        <f>C7*'Datos generales'!$B$2/100</f>
        <v>2000</v>
      </c>
      <c r="E7" s="23">
        <f>C7*'Datos generales'!$B$3/100</f>
        <v>8</v>
      </c>
      <c r="F7" s="24">
        <f>'Datos generales'!$B$4*C7/100</f>
        <v>2</v>
      </c>
    </row>
    <row r="8" spans="1:6">
      <c r="A8" s="21">
        <v>7</v>
      </c>
      <c r="B8" s="26" t="s">
        <v>32</v>
      </c>
      <c r="C8" s="26">
        <v>15</v>
      </c>
      <c r="D8" s="23">
        <f>C8*'Datos generales'!$B$2/100</f>
        <v>3000</v>
      </c>
      <c r="E8" s="23">
        <f>C8*'Datos generales'!$B$3/100</f>
        <v>12</v>
      </c>
      <c r="F8" s="24">
        <f>'Datos generales'!$B$4*C8/100</f>
        <v>3</v>
      </c>
    </row>
    <row r="9" spans="1:6">
      <c r="A9" s="21">
        <v>8</v>
      </c>
      <c r="B9" s="26" t="s">
        <v>33</v>
      </c>
      <c r="C9" s="26">
        <v>5</v>
      </c>
      <c r="D9" s="23">
        <f>C9*'Datos generales'!$B$2/100</f>
        <v>1000</v>
      </c>
      <c r="E9" s="23">
        <f>C9*'Datos generales'!$B$3/100</f>
        <v>4</v>
      </c>
      <c r="F9" s="24">
        <f>'Datos generales'!$B$4*C9/100</f>
        <v>1</v>
      </c>
    </row>
    <row r="10" spans="1:6">
      <c r="A10" s="21">
        <v>9</v>
      </c>
      <c r="B10" s="26" t="s">
        <v>34</v>
      </c>
      <c r="C10" s="26">
        <v>10</v>
      </c>
      <c r="D10" s="23">
        <f>C10*'Datos generales'!$B$2/100</f>
        <v>2000</v>
      </c>
      <c r="E10" s="23">
        <f>C10*'Datos generales'!$B$3/100</f>
        <v>8</v>
      </c>
      <c r="F10" s="24">
        <f>'Datos generales'!$B$4*C10/100</f>
        <v>2</v>
      </c>
    </row>
    <row r="11" spans="1:6">
      <c r="A11" s="21">
        <v>10</v>
      </c>
      <c r="B11" s="26" t="s">
        <v>35</v>
      </c>
      <c r="C11" s="26">
        <v>10</v>
      </c>
      <c r="D11" s="23">
        <f>C11*'Datos generales'!$B$2/100</f>
        <v>2000</v>
      </c>
      <c r="E11" s="23">
        <f>C11*'Datos generales'!$B$3/100</f>
        <v>8</v>
      </c>
      <c r="F11" s="24">
        <f>'Datos generales'!$B$4*C11/100</f>
        <v>2</v>
      </c>
    </row>
    <row r="12" spans="1:6">
      <c r="C12" s="24">
        <f>SUM(C2:C11)</f>
        <v>100</v>
      </c>
    </row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2"/>
  <sheetViews>
    <sheetView showGridLines="0" workbookViewId="0"/>
  </sheetViews>
  <sheetFormatPr baseColWidth="10" defaultColWidth="14.42578125" defaultRowHeight="15" customHeight="1"/>
  <cols>
    <col min="1" max="1" width="7.140625" customWidth="1"/>
    <col min="2" max="2" width="8.5703125" customWidth="1"/>
    <col min="3" max="3" width="12" customWidth="1"/>
    <col min="4" max="4" width="13.85546875" customWidth="1"/>
    <col min="5" max="6" width="8.7109375" customWidth="1"/>
    <col min="7" max="7" width="20.42578125" customWidth="1"/>
    <col min="8" max="8" width="8.7109375" customWidth="1"/>
    <col min="9" max="9" width="13" customWidth="1"/>
    <col min="10" max="10" width="8.7109375" customWidth="1"/>
    <col min="11" max="11" width="7.28515625" customWidth="1"/>
    <col min="12" max="12" width="29.42578125" customWidth="1"/>
    <col min="13" max="13" width="8.7109375" customWidth="1"/>
    <col min="14" max="14" width="6.140625" customWidth="1"/>
    <col min="15" max="15" width="10.7109375" customWidth="1"/>
    <col min="16" max="16" width="11.5703125" customWidth="1"/>
    <col min="17" max="17" width="10.7109375" customWidth="1"/>
    <col min="18" max="18" width="11.5703125" customWidth="1"/>
    <col min="19" max="19" width="8.7109375" customWidth="1"/>
    <col min="20" max="20" width="10.5703125" customWidth="1"/>
    <col min="21" max="21" width="8.7109375" customWidth="1"/>
  </cols>
  <sheetData>
    <row r="1" spans="1:21" ht="17.25">
      <c r="A1" s="182" t="s">
        <v>36</v>
      </c>
      <c r="B1" s="183"/>
      <c r="C1" s="183"/>
      <c r="D1" s="184"/>
      <c r="F1" s="182" t="s">
        <v>37</v>
      </c>
      <c r="G1" s="183"/>
      <c r="H1" s="183"/>
      <c r="I1" s="184"/>
      <c r="K1" s="182" t="s">
        <v>38</v>
      </c>
      <c r="L1" s="184"/>
      <c r="M1" s="27"/>
      <c r="N1" s="185" t="s">
        <v>39</v>
      </c>
      <c r="O1" s="179" t="s">
        <v>40</v>
      </c>
      <c r="P1" s="181"/>
      <c r="Q1" s="179" t="s">
        <v>41</v>
      </c>
      <c r="R1" s="181"/>
      <c r="S1" s="179" t="s">
        <v>42</v>
      </c>
      <c r="T1" s="181"/>
      <c r="U1" s="27"/>
    </row>
    <row r="2" spans="1:21" ht="17.25">
      <c r="A2" s="28" t="s">
        <v>43</v>
      </c>
      <c r="B2" s="29" t="s">
        <v>44</v>
      </c>
      <c r="C2" s="29" t="s">
        <v>45</v>
      </c>
      <c r="D2" s="30" t="s">
        <v>46</v>
      </c>
      <c r="F2" s="28" t="s">
        <v>43</v>
      </c>
      <c r="G2" s="29" t="s">
        <v>0</v>
      </c>
      <c r="H2" s="29" t="s">
        <v>47</v>
      </c>
      <c r="I2" s="30" t="s">
        <v>46</v>
      </c>
      <c r="J2" s="31"/>
      <c r="K2" s="8" t="s">
        <v>43</v>
      </c>
      <c r="L2" s="8" t="s">
        <v>48</v>
      </c>
      <c r="N2" s="186"/>
      <c r="O2" s="32" t="s">
        <v>49</v>
      </c>
      <c r="P2" s="33" t="s">
        <v>50</v>
      </c>
      <c r="Q2" s="32" t="s">
        <v>49</v>
      </c>
      <c r="R2" s="33" t="s">
        <v>50</v>
      </c>
      <c r="S2" s="34" t="s">
        <v>51</v>
      </c>
      <c r="T2" s="33" t="s">
        <v>52</v>
      </c>
      <c r="U2" s="35"/>
    </row>
    <row r="3" spans="1:21" ht="17.25">
      <c r="A3" s="36" t="s">
        <v>53</v>
      </c>
      <c r="B3" s="36">
        <v>1</v>
      </c>
      <c r="C3" s="36">
        <f>Socios!$E$2</f>
        <v>8</v>
      </c>
      <c r="D3" s="37" t="s">
        <v>54</v>
      </c>
      <c r="F3" s="36" t="s">
        <v>53</v>
      </c>
      <c r="G3" s="36" t="s">
        <v>11</v>
      </c>
      <c r="H3" s="36">
        <f>'Datos generales'!$I$4</f>
        <v>20</v>
      </c>
      <c r="I3" s="37" t="s">
        <v>54</v>
      </c>
      <c r="K3" s="38" t="s">
        <v>53</v>
      </c>
      <c r="L3" s="14">
        <v>1600</v>
      </c>
      <c r="N3" s="39">
        <v>2025</v>
      </c>
      <c r="O3" s="40">
        <f>SUMIF(D3:D122,"Pagado",C3:C122)</f>
        <v>336</v>
      </c>
      <c r="P3" s="41">
        <f>SUM(C3:C122)</f>
        <v>960</v>
      </c>
      <c r="Q3" s="40">
        <f>SUMIF(I3:I122,"Pagado",H3:H122)</f>
        <v>160</v>
      </c>
      <c r="R3" s="41">
        <f>SUM(H3:H122)</f>
        <v>480</v>
      </c>
      <c r="S3" s="42">
        <f t="shared" ref="S3:T3" si="0">O3-Q3</f>
        <v>176</v>
      </c>
      <c r="T3" s="41">
        <f t="shared" si="0"/>
        <v>480</v>
      </c>
    </row>
    <row r="4" spans="1:21">
      <c r="A4" s="38" t="s">
        <v>55</v>
      </c>
      <c r="B4" s="38">
        <v>1</v>
      </c>
      <c r="C4" s="38">
        <f>Socios!$E$2</f>
        <v>8</v>
      </c>
      <c r="D4" s="37" t="s">
        <v>54</v>
      </c>
      <c r="F4" s="38" t="s">
        <v>53</v>
      </c>
      <c r="G4" s="38" t="s">
        <v>13</v>
      </c>
      <c r="H4" s="38">
        <f>'Datos generales'!$I$5</f>
        <v>10</v>
      </c>
      <c r="I4" s="37" t="s">
        <v>54</v>
      </c>
      <c r="K4" s="38" t="s">
        <v>55</v>
      </c>
      <c r="L4" s="14">
        <v>2000</v>
      </c>
    </row>
    <row r="5" spans="1:21">
      <c r="A5" s="38" t="s">
        <v>56</v>
      </c>
      <c r="B5" s="38">
        <v>1</v>
      </c>
      <c r="C5" s="38">
        <f>Socios!$E$2</f>
        <v>8</v>
      </c>
      <c r="D5" s="37" t="s">
        <v>54</v>
      </c>
      <c r="F5" s="38" t="s">
        <v>53</v>
      </c>
      <c r="G5" s="38" t="s">
        <v>15</v>
      </c>
      <c r="H5" s="38">
        <f>'Datos generales'!$I$6</f>
        <v>10</v>
      </c>
      <c r="I5" s="37" t="s">
        <v>54</v>
      </c>
      <c r="K5" s="38" t="s">
        <v>56</v>
      </c>
      <c r="L5" s="14">
        <v>2800</v>
      </c>
    </row>
    <row r="6" spans="1:21">
      <c r="A6" s="38" t="s">
        <v>57</v>
      </c>
      <c r="B6" s="38">
        <v>1</v>
      </c>
      <c r="C6" s="38">
        <f>Socios!$E$2</f>
        <v>8</v>
      </c>
      <c r="D6" s="37" t="s">
        <v>54</v>
      </c>
      <c r="F6" s="38" t="s">
        <v>55</v>
      </c>
      <c r="G6" s="38" t="s">
        <v>11</v>
      </c>
      <c r="H6" s="38">
        <f>'Datos generales'!$I$4</f>
        <v>20</v>
      </c>
      <c r="I6" s="37" t="s">
        <v>54</v>
      </c>
      <c r="K6" s="38" t="s">
        <v>57</v>
      </c>
      <c r="L6" s="14">
        <v>3200</v>
      </c>
    </row>
    <row r="7" spans="1:21">
      <c r="A7" s="38" t="s">
        <v>58</v>
      </c>
      <c r="B7" s="38">
        <v>1</v>
      </c>
      <c r="C7" s="38">
        <f>Socios!$E$2</f>
        <v>8</v>
      </c>
      <c r="D7" s="37" t="s">
        <v>54</v>
      </c>
      <c r="F7" s="38" t="s">
        <v>55</v>
      </c>
      <c r="G7" s="38" t="s">
        <v>13</v>
      </c>
      <c r="H7" s="38">
        <f>'Datos generales'!$I$5</f>
        <v>10</v>
      </c>
      <c r="I7" s="37" t="s">
        <v>54</v>
      </c>
      <c r="K7" s="38" t="s">
        <v>58</v>
      </c>
      <c r="L7" s="14">
        <v>3600</v>
      </c>
    </row>
    <row r="8" spans="1:21">
      <c r="A8" s="38" t="s">
        <v>59</v>
      </c>
      <c r="B8" s="38">
        <v>1</v>
      </c>
      <c r="C8" s="38">
        <f>Socios!$E$2</f>
        <v>8</v>
      </c>
      <c r="D8" s="37" t="s">
        <v>54</v>
      </c>
      <c r="F8" s="38" t="s">
        <v>55</v>
      </c>
      <c r="G8" s="38" t="s">
        <v>15</v>
      </c>
      <c r="H8" s="38">
        <f>'Datos generales'!$I$6</f>
        <v>10</v>
      </c>
      <c r="I8" s="37" t="s">
        <v>54</v>
      </c>
      <c r="K8" s="38" t="s">
        <v>59</v>
      </c>
      <c r="L8" s="14">
        <v>3600</v>
      </c>
    </row>
    <row r="9" spans="1:21">
      <c r="A9" s="38" t="s">
        <v>60</v>
      </c>
      <c r="B9" s="38">
        <v>1</v>
      </c>
      <c r="C9" s="38">
        <f>Socios!$E$2</f>
        <v>8</v>
      </c>
      <c r="D9" s="37" t="s">
        <v>61</v>
      </c>
      <c r="F9" s="38" t="s">
        <v>56</v>
      </c>
      <c r="G9" s="38" t="s">
        <v>11</v>
      </c>
      <c r="H9" s="38">
        <f>'Datos generales'!$I$4</f>
        <v>20</v>
      </c>
      <c r="I9" s="37" t="s">
        <v>54</v>
      </c>
      <c r="K9" s="38" t="s">
        <v>60</v>
      </c>
      <c r="L9" s="14">
        <v>4000</v>
      </c>
    </row>
    <row r="10" spans="1:21">
      <c r="A10" s="38" t="s">
        <v>62</v>
      </c>
      <c r="B10" s="38">
        <v>1</v>
      </c>
      <c r="C10" s="38">
        <f>Socios!$E$2</f>
        <v>8</v>
      </c>
      <c r="D10" s="37" t="s">
        <v>61</v>
      </c>
      <c r="F10" s="38" t="s">
        <v>56</v>
      </c>
      <c r="G10" s="38" t="s">
        <v>13</v>
      </c>
      <c r="H10" s="38">
        <f>'Datos generales'!$I$5</f>
        <v>10</v>
      </c>
      <c r="I10" s="37" t="s">
        <v>54</v>
      </c>
      <c r="K10" s="38" t="s">
        <v>62</v>
      </c>
      <c r="L10" s="14">
        <v>3800</v>
      </c>
    </row>
    <row r="11" spans="1:21">
      <c r="A11" s="38" t="s">
        <v>63</v>
      </c>
      <c r="B11" s="38">
        <v>1</v>
      </c>
      <c r="C11" s="38">
        <f>Socios!$E$2</f>
        <v>8</v>
      </c>
      <c r="D11" s="37" t="s">
        <v>61</v>
      </c>
      <c r="F11" s="38" t="s">
        <v>56</v>
      </c>
      <c r="G11" s="38" t="s">
        <v>15</v>
      </c>
      <c r="H11" s="38">
        <f>'Datos generales'!$I$6</f>
        <v>10</v>
      </c>
      <c r="I11" s="37" t="s">
        <v>54</v>
      </c>
      <c r="K11" s="38" t="s">
        <v>63</v>
      </c>
      <c r="L11" s="14">
        <v>3200</v>
      </c>
    </row>
    <row r="12" spans="1:21">
      <c r="A12" s="38" t="s">
        <v>64</v>
      </c>
      <c r="B12" s="38">
        <v>1</v>
      </c>
      <c r="C12" s="38">
        <f>Socios!$E$2</f>
        <v>8</v>
      </c>
      <c r="D12" s="37" t="s">
        <v>61</v>
      </c>
      <c r="F12" s="38" t="s">
        <v>57</v>
      </c>
      <c r="G12" s="38" t="s">
        <v>11</v>
      </c>
      <c r="H12" s="38">
        <f>'Datos generales'!$I$4</f>
        <v>20</v>
      </c>
      <c r="I12" s="37" t="s">
        <v>54</v>
      </c>
      <c r="K12" s="38" t="s">
        <v>64</v>
      </c>
      <c r="L12" s="14">
        <v>2600</v>
      </c>
    </row>
    <row r="13" spans="1:21">
      <c r="A13" s="38" t="s">
        <v>65</v>
      </c>
      <c r="B13" s="38">
        <v>1</v>
      </c>
      <c r="C13" s="38">
        <f>Socios!$E$2</f>
        <v>8</v>
      </c>
      <c r="D13" s="37" t="s">
        <v>61</v>
      </c>
      <c r="F13" s="38" t="s">
        <v>57</v>
      </c>
      <c r="G13" s="38" t="s">
        <v>13</v>
      </c>
      <c r="H13" s="38">
        <f>'Datos generales'!$I$5</f>
        <v>10</v>
      </c>
      <c r="I13" s="37" t="s">
        <v>54</v>
      </c>
      <c r="K13" s="38" t="s">
        <v>65</v>
      </c>
      <c r="L13" s="14">
        <v>1800</v>
      </c>
    </row>
    <row r="14" spans="1:21">
      <c r="A14" s="38" t="s">
        <v>66</v>
      </c>
      <c r="B14" s="38">
        <v>1</v>
      </c>
      <c r="C14" s="38">
        <f>Socios!$E$2</f>
        <v>8</v>
      </c>
      <c r="D14" s="37" t="s">
        <v>61</v>
      </c>
      <c r="F14" s="38" t="s">
        <v>57</v>
      </c>
      <c r="G14" s="38" t="s">
        <v>15</v>
      </c>
      <c r="H14" s="38">
        <f>'Datos generales'!$I$6</f>
        <v>10</v>
      </c>
      <c r="I14" s="37" t="s">
        <v>54</v>
      </c>
      <c r="K14" s="38" t="s">
        <v>66</v>
      </c>
      <c r="L14" s="14">
        <v>1400</v>
      </c>
    </row>
    <row r="15" spans="1:21">
      <c r="A15" s="38" t="s">
        <v>53</v>
      </c>
      <c r="B15" s="38">
        <v>2</v>
      </c>
      <c r="C15" s="38">
        <f>Socios!$E$3</f>
        <v>12</v>
      </c>
      <c r="D15" s="37" t="s">
        <v>54</v>
      </c>
      <c r="F15" s="38" t="s">
        <v>58</v>
      </c>
      <c r="G15" s="38" t="s">
        <v>11</v>
      </c>
      <c r="H15" s="38">
        <f>'Datos generales'!$I$4</f>
        <v>20</v>
      </c>
      <c r="I15" s="37" t="s">
        <v>61</v>
      </c>
      <c r="K15" s="43" t="s">
        <v>8</v>
      </c>
      <c r="L15" s="44">
        <f>SUM(L3:L14)</f>
        <v>33600</v>
      </c>
    </row>
    <row r="16" spans="1:21">
      <c r="A16" s="38" t="s">
        <v>55</v>
      </c>
      <c r="B16" s="38">
        <v>2</v>
      </c>
      <c r="C16" s="38">
        <f>Socios!$E$3</f>
        <v>12</v>
      </c>
      <c r="D16" s="37" t="s">
        <v>54</v>
      </c>
      <c r="F16" s="38" t="s">
        <v>58</v>
      </c>
      <c r="G16" s="38" t="s">
        <v>13</v>
      </c>
      <c r="H16" s="38">
        <f>'Datos generales'!$I$5</f>
        <v>10</v>
      </c>
      <c r="I16" s="37" t="s">
        <v>61</v>
      </c>
      <c r="K16" s="45"/>
    </row>
    <row r="17" spans="1:11">
      <c r="A17" s="38" t="s">
        <v>56</v>
      </c>
      <c r="B17" s="38">
        <v>2</v>
      </c>
      <c r="C17" s="38">
        <f>Socios!$E$3</f>
        <v>12</v>
      </c>
      <c r="D17" s="37" t="s">
        <v>54</v>
      </c>
      <c r="F17" s="38" t="s">
        <v>58</v>
      </c>
      <c r="G17" s="38" t="s">
        <v>15</v>
      </c>
      <c r="H17" s="38">
        <f>'Datos generales'!$I$6</f>
        <v>10</v>
      </c>
      <c r="I17" s="37" t="s">
        <v>61</v>
      </c>
      <c r="K17" s="45"/>
    </row>
    <row r="18" spans="1:11">
      <c r="A18" s="38" t="s">
        <v>57</v>
      </c>
      <c r="B18" s="38">
        <v>2</v>
      </c>
      <c r="C18" s="38">
        <f>Socios!$E$3</f>
        <v>12</v>
      </c>
      <c r="D18" s="37" t="s">
        <v>54</v>
      </c>
      <c r="F18" s="38" t="s">
        <v>59</v>
      </c>
      <c r="G18" s="38" t="s">
        <v>11</v>
      </c>
      <c r="H18" s="38">
        <f>'Datos generales'!$I$4</f>
        <v>20</v>
      </c>
      <c r="I18" s="37" t="s">
        <v>61</v>
      </c>
      <c r="K18" s="45"/>
    </row>
    <row r="19" spans="1:11">
      <c r="A19" s="38" t="s">
        <v>58</v>
      </c>
      <c r="B19" s="38">
        <v>2</v>
      </c>
      <c r="C19" s="38">
        <f>Socios!$E$3</f>
        <v>12</v>
      </c>
      <c r="D19" s="37" t="s">
        <v>61</v>
      </c>
      <c r="F19" s="38" t="s">
        <v>59</v>
      </c>
      <c r="G19" s="38" t="s">
        <v>13</v>
      </c>
      <c r="H19" s="38">
        <f>'Datos generales'!$I$5</f>
        <v>10</v>
      </c>
      <c r="I19" s="37" t="s">
        <v>61</v>
      </c>
      <c r="K19" s="45"/>
    </row>
    <row r="20" spans="1:11">
      <c r="A20" s="38" t="s">
        <v>59</v>
      </c>
      <c r="B20" s="38">
        <v>2</v>
      </c>
      <c r="C20" s="38">
        <f>Socios!$E$3</f>
        <v>12</v>
      </c>
      <c r="D20" s="37" t="s">
        <v>61</v>
      </c>
      <c r="F20" s="38" t="s">
        <v>59</v>
      </c>
      <c r="G20" s="38" t="s">
        <v>15</v>
      </c>
      <c r="H20" s="38">
        <f>'Datos generales'!$I$6</f>
        <v>10</v>
      </c>
      <c r="I20" s="37" t="s">
        <v>61</v>
      </c>
      <c r="K20" s="45"/>
    </row>
    <row r="21" spans="1:11">
      <c r="A21" s="38" t="s">
        <v>60</v>
      </c>
      <c r="B21" s="38">
        <v>2</v>
      </c>
      <c r="C21" s="38">
        <f>Socios!$E$3</f>
        <v>12</v>
      </c>
      <c r="D21" s="37" t="s">
        <v>61</v>
      </c>
      <c r="F21" s="38" t="s">
        <v>60</v>
      </c>
      <c r="G21" s="38" t="s">
        <v>11</v>
      </c>
      <c r="H21" s="38">
        <f>'Datos generales'!$I$4</f>
        <v>20</v>
      </c>
      <c r="I21" s="37" t="s">
        <v>61</v>
      </c>
      <c r="K21" s="45"/>
    </row>
    <row r="22" spans="1:11" ht="15.75" customHeight="1">
      <c r="A22" s="38" t="s">
        <v>62</v>
      </c>
      <c r="B22" s="38">
        <v>2</v>
      </c>
      <c r="C22" s="38">
        <f>Socios!$E$3</f>
        <v>12</v>
      </c>
      <c r="D22" s="37" t="s">
        <v>61</v>
      </c>
      <c r="F22" s="38" t="s">
        <v>60</v>
      </c>
      <c r="G22" s="38" t="s">
        <v>13</v>
      </c>
      <c r="H22" s="38">
        <f>'Datos generales'!$I$5</f>
        <v>10</v>
      </c>
      <c r="I22" s="37" t="s">
        <v>61</v>
      </c>
      <c r="K22" s="45"/>
    </row>
    <row r="23" spans="1:11" ht="15.75" customHeight="1">
      <c r="A23" s="38" t="s">
        <v>63</v>
      </c>
      <c r="B23" s="38">
        <v>2</v>
      </c>
      <c r="C23" s="38">
        <f>Socios!$E$3</f>
        <v>12</v>
      </c>
      <c r="D23" s="37" t="s">
        <v>61</v>
      </c>
      <c r="F23" s="38" t="s">
        <v>60</v>
      </c>
      <c r="G23" s="38" t="s">
        <v>15</v>
      </c>
      <c r="H23" s="38">
        <f>'Datos generales'!$I$6</f>
        <v>10</v>
      </c>
      <c r="I23" s="37" t="s">
        <v>61</v>
      </c>
      <c r="K23" s="45"/>
    </row>
    <row r="24" spans="1:11" ht="15.75" customHeight="1">
      <c r="A24" s="38" t="s">
        <v>64</v>
      </c>
      <c r="B24" s="38">
        <v>2</v>
      </c>
      <c r="C24" s="38">
        <f>Socios!$E$3</f>
        <v>12</v>
      </c>
      <c r="D24" s="37" t="s">
        <v>61</v>
      </c>
      <c r="F24" s="38" t="s">
        <v>62</v>
      </c>
      <c r="G24" s="38" t="s">
        <v>11</v>
      </c>
      <c r="H24" s="38">
        <f>'Datos generales'!$I$4</f>
        <v>20</v>
      </c>
      <c r="I24" s="37" t="s">
        <v>61</v>
      </c>
      <c r="K24" s="45"/>
    </row>
    <row r="25" spans="1:11" ht="15.75" customHeight="1">
      <c r="A25" s="38" t="s">
        <v>65</v>
      </c>
      <c r="B25" s="38">
        <v>2</v>
      </c>
      <c r="C25" s="38">
        <f>Socios!$E$3</f>
        <v>12</v>
      </c>
      <c r="D25" s="37" t="s">
        <v>61</v>
      </c>
      <c r="F25" s="38" t="s">
        <v>62</v>
      </c>
      <c r="G25" s="38" t="s">
        <v>13</v>
      </c>
      <c r="H25" s="38">
        <f>'Datos generales'!$I$5</f>
        <v>10</v>
      </c>
      <c r="I25" s="37" t="s">
        <v>61</v>
      </c>
      <c r="K25" s="45"/>
    </row>
    <row r="26" spans="1:11" ht="15.75" customHeight="1">
      <c r="A26" s="38" t="s">
        <v>66</v>
      </c>
      <c r="B26" s="38">
        <v>2</v>
      </c>
      <c r="C26" s="38">
        <f>Socios!$E$3</f>
        <v>12</v>
      </c>
      <c r="D26" s="37" t="s">
        <v>61</v>
      </c>
      <c r="F26" s="38" t="s">
        <v>62</v>
      </c>
      <c r="G26" s="38" t="s">
        <v>15</v>
      </c>
      <c r="H26" s="38">
        <f>'Datos generales'!$I$6</f>
        <v>10</v>
      </c>
      <c r="I26" s="37" t="s">
        <v>61</v>
      </c>
      <c r="K26" s="45"/>
    </row>
    <row r="27" spans="1:11" ht="15.75" customHeight="1">
      <c r="A27" s="38" t="s">
        <v>53</v>
      </c>
      <c r="B27" s="38">
        <v>3</v>
      </c>
      <c r="C27" s="38">
        <f>Socios!$E$4</f>
        <v>4</v>
      </c>
      <c r="D27" s="37" t="s">
        <v>54</v>
      </c>
      <c r="F27" s="38" t="s">
        <v>63</v>
      </c>
      <c r="G27" s="38" t="s">
        <v>11</v>
      </c>
      <c r="H27" s="38">
        <f>'Datos generales'!$I$4</f>
        <v>20</v>
      </c>
      <c r="I27" s="37" t="s">
        <v>61</v>
      </c>
      <c r="K27" s="45"/>
    </row>
    <row r="28" spans="1:11" ht="15.75" customHeight="1">
      <c r="A28" s="38" t="s">
        <v>55</v>
      </c>
      <c r="B28" s="38">
        <v>3</v>
      </c>
      <c r="C28" s="38">
        <f>Socios!$E$4</f>
        <v>4</v>
      </c>
      <c r="D28" s="37" t="s">
        <v>54</v>
      </c>
      <c r="F28" s="38" t="s">
        <v>63</v>
      </c>
      <c r="G28" s="38" t="s">
        <v>13</v>
      </c>
      <c r="H28" s="38">
        <f>'Datos generales'!$I$5</f>
        <v>10</v>
      </c>
      <c r="I28" s="37" t="s">
        <v>61</v>
      </c>
      <c r="K28" s="45"/>
    </row>
    <row r="29" spans="1:11" ht="15.75" customHeight="1">
      <c r="A29" s="38" t="s">
        <v>56</v>
      </c>
      <c r="B29" s="38">
        <v>3</v>
      </c>
      <c r="C29" s="38">
        <f>Socios!$E$4</f>
        <v>4</v>
      </c>
      <c r="D29" s="37" t="s">
        <v>54</v>
      </c>
      <c r="F29" s="38" t="s">
        <v>63</v>
      </c>
      <c r="G29" s="38" t="s">
        <v>15</v>
      </c>
      <c r="H29" s="38">
        <f>'Datos generales'!$I$6</f>
        <v>10</v>
      </c>
      <c r="I29" s="37" t="s">
        <v>61</v>
      </c>
      <c r="K29" s="45"/>
    </row>
    <row r="30" spans="1:11" ht="15.75" customHeight="1">
      <c r="A30" s="38" t="s">
        <v>57</v>
      </c>
      <c r="B30" s="38">
        <v>3</v>
      </c>
      <c r="C30" s="38">
        <f>Socios!$E$4</f>
        <v>4</v>
      </c>
      <c r="D30" s="37" t="s">
        <v>54</v>
      </c>
      <c r="F30" s="38" t="s">
        <v>64</v>
      </c>
      <c r="G30" s="38" t="s">
        <v>11</v>
      </c>
      <c r="H30" s="38">
        <f>'Datos generales'!$I$4</f>
        <v>20</v>
      </c>
      <c r="I30" s="37" t="s">
        <v>61</v>
      </c>
      <c r="K30" s="45"/>
    </row>
    <row r="31" spans="1:11" ht="15.75" customHeight="1">
      <c r="A31" s="38" t="s">
        <v>58</v>
      </c>
      <c r="B31" s="38">
        <v>3</v>
      </c>
      <c r="C31" s="38">
        <f>Socios!$E$4</f>
        <v>4</v>
      </c>
      <c r="D31" s="37" t="s">
        <v>61</v>
      </c>
      <c r="F31" s="38" t="s">
        <v>64</v>
      </c>
      <c r="G31" s="38" t="s">
        <v>13</v>
      </c>
      <c r="H31" s="38">
        <f>'Datos generales'!$I$5</f>
        <v>10</v>
      </c>
      <c r="I31" s="37" t="s">
        <v>61</v>
      </c>
      <c r="K31" s="45"/>
    </row>
    <row r="32" spans="1:11" ht="15.75" customHeight="1">
      <c r="A32" s="38" t="s">
        <v>59</v>
      </c>
      <c r="B32" s="38">
        <v>3</v>
      </c>
      <c r="C32" s="38">
        <f>Socios!$E$4</f>
        <v>4</v>
      </c>
      <c r="D32" s="37" t="s">
        <v>61</v>
      </c>
      <c r="F32" s="38" t="s">
        <v>64</v>
      </c>
      <c r="G32" s="38" t="s">
        <v>15</v>
      </c>
      <c r="H32" s="38">
        <f>'Datos generales'!$I$6</f>
        <v>10</v>
      </c>
      <c r="I32" s="37" t="s">
        <v>61</v>
      </c>
    </row>
    <row r="33" spans="1:9" ht="15.75" customHeight="1">
      <c r="A33" s="38" t="s">
        <v>60</v>
      </c>
      <c r="B33" s="38">
        <v>3</v>
      </c>
      <c r="C33" s="38">
        <f>Socios!$E$4</f>
        <v>4</v>
      </c>
      <c r="D33" s="37" t="s">
        <v>61</v>
      </c>
      <c r="F33" s="38" t="s">
        <v>65</v>
      </c>
      <c r="G33" s="38" t="s">
        <v>11</v>
      </c>
      <c r="H33" s="38">
        <f>'Datos generales'!$I$4</f>
        <v>20</v>
      </c>
      <c r="I33" s="37" t="s">
        <v>61</v>
      </c>
    </row>
    <row r="34" spans="1:9" ht="15.75" customHeight="1">
      <c r="A34" s="38" t="s">
        <v>62</v>
      </c>
      <c r="B34" s="38">
        <v>3</v>
      </c>
      <c r="C34" s="38">
        <f>Socios!$E$4</f>
        <v>4</v>
      </c>
      <c r="D34" s="37" t="s">
        <v>61</v>
      </c>
      <c r="F34" s="38" t="s">
        <v>65</v>
      </c>
      <c r="G34" s="38" t="s">
        <v>13</v>
      </c>
      <c r="H34" s="38">
        <f>'Datos generales'!$I$5</f>
        <v>10</v>
      </c>
      <c r="I34" s="37" t="s">
        <v>61</v>
      </c>
    </row>
    <row r="35" spans="1:9" ht="15.75" customHeight="1">
      <c r="A35" s="38" t="s">
        <v>63</v>
      </c>
      <c r="B35" s="38">
        <v>3</v>
      </c>
      <c r="C35" s="38">
        <f>Socios!$E$4</f>
        <v>4</v>
      </c>
      <c r="D35" s="37" t="s">
        <v>61</v>
      </c>
      <c r="F35" s="38" t="s">
        <v>65</v>
      </c>
      <c r="G35" s="38" t="s">
        <v>15</v>
      </c>
      <c r="H35" s="38">
        <f>'Datos generales'!$I$6</f>
        <v>10</v>
      </c>
      <c r="I35" s="37" t="s">
        <v>61</v>
      </c>
    </row>
    <row r="36" spans="1:9" ht="15.75" customHeight="1">
      <c r="A36" s="38" t="s">
        <v>64</v>
      </c>
      <c r="B36" s="38">
        <v>3</v>
      </c>
      <c r="C36" s="38">
        <f>Socios!$E$4</f>
        <v>4</v>
      </c>
      <c r="D36" s="37" t="s">
        <v>61</v>
      </c>
      <c r="F36" s="38" t="s">
        <v>66</v>
      </c>
      <c r="G36" s="38" t="s">
        <v>11</v>
      </c>
      <c r="H36" s="38">
        <f>'Datos generales'!$I$4</f>
        <v>20</v>
      </c>
      <c r="I36" s="37" t="s">
        <v>61</v>
      </c>
    </row>
    <row r="37" spans="1:9" ht="15.75" customHeight="1">
      <c r="A37" s="38" t="s">
        <v>65</v>
      </c>
      <c r="B37" s="38">
        <v>3</v>
      </c>
      <c r="C37" s="38">
        <f>Socios!$E$4</f>
        <v>4</v>
      </c>
      <c r="D37" s="37" t="s">
        <v>61</v>
      </c>
      <c r="F37" s="38" t="s">
        <v>66</v>
      </c>
      <c r="G37" s="38" t="s">
        <v>13</v>
      </c>
      <c r="H37" s="38">
        <f>'Datos generales'!$I$5</f>
        <v>10</v>
      </c>
      <c r="I37" s="37" t="s">
        <v>61</v>
      </c>
    </row>
    <row r="38" spans="1:9" ht="15.75" customHeight="1">
      <c r="A38" s="38" t="s">
        <v>66</v>
      </c>
      <c r="B38" s="38">
        <v>3</v>
      </c>
      <c r="C38" s="38">
        <f>Socios!$E$4</f>
        <v>4</v>
      </c>
      <c r="D38" s="37" t="s">
        <v>61</v>
      </c>
      <c r="F38" s="46" t="s">
        <v>66</v>
      </c>
      <c r="G38" s="46" t="s">
        <v>15</v>
      </c>
      <c r="H38" s="46">
        <f>'Datos generales'!$I$6</f>
        <v>10</v>
      </c>
      <c r="I38" s="47" t="s">
        <v>61</v>
      </c>
    </row>
    <row r="39" spans="1:9" ht="15.75" customHeight="1">
      <c r="A39" s="38" t="s">
        <v>53</v>
      </c>
      <c r="B39" s="38">
        <v>4</v>
      </c>
      <c r="C39" s="38">
        <f>Socios!$E$5</f>
        <v>12</v>
      </c>
      <c r="D39" s="37" t="s">
        <v>54</v>
      </c>
    </row>
    <row r="40" spans="1:9" ht="15.75" customHeight="1">
      <c r="A40" s="38" t="s">
        <v>55</v>
      </c>
      <c r="B40" s="38">
        <v>4</v>
      </c>
      <c r="C40" s="38">
        <f>Socios!$E$5</f>
        <v>12</v>
      </c>
      <c r="D40" s="37" t="s">
        <v>54</v>
      </c>
    </row>
    <row r="41" spans="1:9" ht="15.75" customHeight="1">
      <c r="A41" s="38" t="s">
        <v>56</v>
      </c>
      <c r="B41" s="38">
        <v>4</v>
      </c>
      <c r="C41" s="38">
        <f>Socios!$E$5</f>
        <v>12</v>
      </c>
      <c r="D41" s="37" t="s">
        <v>54</v>
      </c>
    </row>
    <row r="42" spans="1:9" ht="15.75" customHeight="1">
      <c r="A42" s="38" t="s">
        <v>57</v>
      </c>
      <c r="B42" s="38">
        <v>4</v>
      </c>
      <c r="C42" s="38">
        <f>Socios!$E$5</f>
        <v>12</v>
      </c>
      <c r="D42" s="37" t="s">
        <v>54</v>
      </c>
    </row>
    <row r="43" spans="1:9" ht="15.75" customHeight="1">
      <c r="A43" s="38" t="s">
        <v>58</v>
      </c>
      <c r="B43" s="38">
        <v>4</v>
      </c>
      <c r="C43" s="38">
        <f>Socios!$E$5</f>
        <v>12</v>
      </c>
      <c r="D43" s="37" t="s">
        <v>61</v>
      </c>
    </row>
    <row r="44" spans="1:9" ht="15.75" customHeight="1">
      <c r="A44" s="38" t="s">
        <v>59</v>
      </c>
      <c r="B44" s="38">
        <v>4</v>
      </c>
      <c r="C44" s="38">
        <f>Socios!$E$5</f>
        <v>12</v>
      </c>
      <c r="D44" s="37" t="s">
        <v>61</v>
      </c>
    </row>
    <row r="45" spans="1:9" ht="15.75" customHeight="1">
      <c r="A45" s="38" t="s">
        <v>60</v>
      </c>
      <c r="B45" s="38">
        <v>4</v>
      </c>
      <c r="C45" s="38">
        <f>Socios!$E$5</f>
        <v>12</v>
      </c>
      <c r="D45" s="37" t="s">
        <v>61</v>
      </c>
    </row>
    <row r="46" spans="1:9" ht="15.75" customHeight="1">
      <c r="A46" s="38" t="s">
        <v>62</v>
      </c>
      <c r="B46" s="38">
        <v>4</v>
      </c>
      <c r="C46" s="38">
        <f>Socios!$E$5</f>
        <v>12</v>
      </c>
      <c r="D46" s="37" t="s">
        <v>61</v>
      </c>
    </row>
    <row r="47" spans="1:9" ht="15.75" customHeight="1">
      <c r="A47" s="38" t="s">
        <v>63</v>
      </c>
      <c r="B47" s="38">
        <v>4</v>
      </c>
      <c r="C47" s="38">
        <f>Socios!$E$5</f>
        <v>12</v>
      </c>
      <c r="D47" s="37" t="s">
        <v>61</v>
      </c>
    </row>
    <row r="48" spans="1:9" ht="15.75" customHeight="1">
      <c r="A48" s="38" t="s">
        <v>64</v>
      </c>
      <c r="B48" s="38">
        <v>4</v>
      </c>
      <c r="C48" s="38">
        <f>Socios!$E$5</f>
        <v>12</v>
      </c>
      <c r="D48" s="37" t="s">
        <v>61</v>
      </c>
    </row>
    <row r="49" spans="1:4" ht="15.75" customHeight="1">
      <c r="A49" s="38" t="s">
        <v>65</v>
      </c>
      <c r="B49" s="38">
        <v>4</v>
      </c>
      <c r="C49" s="38">
        <f>Socios!$E$5</f>
        <v>12</v>
      </c>
      <c r="D49" s="37" t="s">
        <v>61</v>
      </c>
    </row>
    <row r="50" spans="1:4" ht="15.75" customHeight="1">
      <c r="A50" s="38" t="s">
        <v>66</v>
      </c>
      <c r="B50" s="38">
        <v>4</v>
      </c>
      <c r="C50" s="38">
        <f>Socios!$E$5</f>
        <v>12</v>
      </c>
      <c r="D50" s="37" t="s">
        <v>61</v>
      </c>
    </row>
    <row r="51" spans="1:4" ht="15.75" customHeight="1">
      <c r="A51" s="38" t="s">
        <v>53</v>
      </c>
      <c r="B51" s="38">
        <v>5</v>
      </c>
      <c r="C51" s="38">
        <f>Socios!$E$6</f>
        <v>4</v>
      </c>
      <c r="D51" s="37" t="s">
        <v>54</v>
      </c>
    </row>
    <row r="52" spans="1:4" ht="15.75" customHeight="1">
      <c r="A52" s="38" t="s">
        <v>55</v>
      </c>
      <c r="B52" s="38">
        <v>5</v>
      </c>
      <c r="C52" s="38">
        <f>Socios!$E$6</f>
        <v>4</v>
      </c>
      <c r="D52" s="37" t="s">
        <v>54</v>
      </c>
    </row>
    <row r="53" spans="1:4" ht="15.75" customHeight="1">
      <c r="A53" s="38" t="s">
        <v>56</v>
      </c>
      <c r="B53" s="38">
        <v>5</v>
      </c>
      <c r="C53" s="38">
        <f>Socios!$E$6</f>
        <v>4</v>
      </c>
      <c r="D53" s="37" t="s">
        <v>54</v>
      </c>
    </row>
    <row r="54" spans="1:4" ht="15.75" customHeight="1">
      <c r="A54" s="38" t="s">
        <v>57</v>
      </c>
      <c r="B54" s="38">
        <v>5</v>
      </c>
      <c r="C54" s="38">
        <f>Socios!$E$6</f>
        <v>4</v>
      </c>
      <c r="D54" s="37" t="s">
        <v>54</v>
      </c>
    </row>
    <row r="55" spans="1:4" ht="15.75" customHeight="1">
      <c r="A55" s="38" t="s">
        <v>58</v>
      </c>
      <c r="B55" s="38">
        <v>5</v>
      </c>
      <c r="C55" s="38">
        <f>Socios!$E$6</f>
        <v>4</v>
      </c>
      <c r="D55" s="37" t="s">
        <v>61</v>
      </c>
    </row>
    <row r="56" spans="1:4" ht="15.75" customHeight="1">
      <c r="A56" s="38" t="s">
        <v>59</v>
      </c>
      <c r="B56" s="38">
        <v>5</v>
      </c>
      <c r="C56" s="38">
        <f>Socios!$E$6</f>
        <v>4</v>
      </c>
      <c r="D56" s="37" t="s">
        <v>61</v>
      </c>
    </row>
    <row r="57" spans="1:4" ht="15.75" customHeight="1">
      <c r="A57" s="38" t="s">
        <v>60</v>
      </c>
      <c r="B57" s="38">
        <v>5</v>
      </c>
      <c r="C57" s="38">
        <f>Socios!$E$6</f>
        <v>4</v>
      </c>
      <c r="D57" s="37" t="s">
        <v>61</v>
      </c>
    </row>
    <row r="58" spans="1:4" ht="15.75" customHeight="1">
      <c r="A58" s="38" t="s">
        <v>62</v>
      </c>
      <c r="B58" s="38">
        <v>5</v>
      </c>
      <c r="C58" s="38">
        <f>Socios!$E$6</f>
        <v>4</v>
      </c>
      <c r="D58" s="37" t="s">
        <v>61</v>
      </c>
    </row>
    <row r="59" spans="1:4" ht="15.75" customHeight="1">
      <c r="A59" s="38" t="s">
        <v>63</v>
      </c>
      <c r="B59" s="38">
        <v>5</v>
      </c>
      <c r="C59" s="38">
        <f>Socios!$E$6</f>
        <v>4</v>
      </c>
      <c r="D59" s="37" t="s">
        <v>61</v>
      </c>
    </row>
    <row r="60" spans="1:4" ht="15.75" customHeight="1">
      <c r="A60" s="38" t="s">
        <v>64</v>
      </c>
      <c r="B60" s="38">
        <v>5</v>
      </c>
      <c r="C60" s="38">
        <f>Socios!$E$6</f>
        <v>4</v>
      </c>
      <c r="D60" s="37" t="s">
        <v>61</v>
      </c>
    </row>
    <row r="61" spans="1:4" ht="15.75" customHeight="1">
      <c r="A61" s="38" t="s">
        <v>65</v>
      </c>
      <c r="B61" s="38">
        <v>5</v>
      </c>
      <c r="C61" s="38">
        <f>Socios!$E$6</f>
        <v>4</v>
      </c>
      <c r="D61" s="37" t="s">
        <v>61</v>
      </c>
    </row>
    <row r="62" spans="1:4" ht="15.75" customHeight="1">
      <c r="A62" s="38" t="s">
        <v>66</v>
      </c>
      <c r="B62" s="38">
        <v>5</v>
      </c>
      <c r="C62" s="38">
        <f>Socios!$E$6</f>
        <v>4</v>
      </c>
      <c r="D62" s="37" t="s">
        <v>61</v>
      </c>
    </row>
    <row r="63" spans="1:4" ht="15.75" customHeight="1">
      <c r="A63" s="38" t="s">
        <v>53</v>
      </c>
      <c r="B63" s="38">
        <v>6</v>
      </c>
      <c r="C63" s="38">
        <f>Socios!$E$7</f>
        <v>8</v>
      </c>
      <c r="D63" s="37" t="s">
        <v>54</v>
      </c>
    </row>
    <row r="64" spans="1:4" ht="15.75" customHeight="1">
      <c r="A64" s="38" t="s">
        <v>55</v>
      </c>
      <c r="B64" s="38">
        <v>6</v>
      </c>
      <c r="C64" s="38">
        <f>Socios!$E$7</f>
        <v>8</v>
      </c>
      <c r="D64" s="37" t="s">
        <v>54</v>
      </c>
    </row>
    <row r="65" spans="1:4" ht="15.75" customHeight="1">
      <c r="A65" s="38" t="s">
        <v>56</v>
      </c>
      <c r="B65" s="38">
        <v>6</v>
      </c>
      <c r="C65" s="38">
        <f>Socios!$E$7</f>
        <v>8</v>
      </c>
      <c r="D65" s="37" t="s">
        <v>54</v>
      </c>
    </row>
    <row r="66" spans="1:4" ht="15.75" customHeight="1">
      <c r="A66" s="38" t="s">
        <v>57</v>
      </c>
      <c r="B66" s="38">
        <v>6</v>
      </c>
      <c r="C66" s="38">
        <f>Socios!$E$7</f>
        <v>8</v>
      </c>
      <c r="D66" s="37" t="s">
        <v>54</v>
      </c>
    </row>
    <row r="67" spans="1:4" ht="15.75" customHeight="1">
      <c r="A67" s="38" t="s">
        <v>58</v>
      </c>
      <c r="B67" s="38">
        <v>6</v>
      </c>
      <c r="C67" s="38">
        <f>Socios!$E$7</f>
        <v>8</v>
      </c>
      <c r="D67" s="37" t="s">
        <v>61</v>
      </c>
    </row>
    <row r="68" spans="1:4" ht="15.75" customHeight="1">
      <c r="A68" s="38" t="s">
        <v>59</v>
      </c>
      <c r="B68" s="38">
        <v>6</v>
      </c>
      <c r="C68" s="38">
        <f>Socios!$E$7</f>
        <v>8</v>
      </c>
      <c r="D68" s="37" t="s">
        <v>61</v>
      </c>
    </row>
    <row r="69" spans="1:4" ht="15.75" customHeight="1">
      <c r="A69" s="38" t="s">
        <v>60</v>
      </c>
      <c r="B69" s="38">
        <v>6</v>
      </c>
      <c r="C69" s="38">
        <f>Socios!$E$7</f>
        <v>8</v>
      </c>
      <c r="D69" s="37" t="s">
        <v>61</v>
      </c>
    </row>
    <row r="70" spans="1:4" ht="15.75" customHeight="1">
      <c r="A70" s="38" t="s">
        <v>62</v>
      </c>
      <c r="B70" s="38">
        <v>6</v>
      </c>
      <c r="C70" s="38">
        <f>Socios!$E$7</f>
        <v>8</v>
      </c>
      <c r="D70" s="37" t="s">
        <v>61</v>
      </c>
    </row>
    <row r="71" spans="1:4" ht="15.75" customHeight="1">
      <c r="A71" s="38" t="s">
        <v>63</v>
      </c>
      <c r="B71" s="38">
        <v>6</v>
      </c>
      <c r="C71" s="38">
        <f>Socios!$E$7</f>
        <v>8</v>
      </c>
      <c r="D71" s="37" t="s">
        <v>61</v>
      </c>
    </row>
    <row r="72" spans="1:4" ht="15.75" customHeight="1">
      <c r="A72" s="38" t="s">
        <v>64</v>
      </c>
      <c r="B72" s="38">
        <v>6</v>
      </c>
      <c r="C72" s="38">
        <f>Socios!$E$7</f>
        <v>8</v>
      </c>
      <c r="D72" s="37" t="s">
        <v>61</v>
      </c>
    </row>
    <row r="73" spans="1:4" ht="15.75" customHeight="1">
      <c r="A73" s="38" t="s">
        <v>65</v>
      </c>
      <c r="B73" s="38">
        <v>6</v>
      </c>
      <c r="C73" s="38">
        <f>Socios!$E$7</f>
        <v>8</v>
      </c>
      <c r="D73" s="37" t="s">
        <v>61</v>
      </c>
    </row>
    <row r="74" spans="1:4" ht="15.75" customHeight="1">
      <c r="A74" s="38" t="s">
        <v>66</v>
      </c>
      <c r="B74" s="38">
        <v>6</v>
      </c>
      <c r="C74" s="38">
        <f>Socios!$E$7</f>
        <v>8</v>
      </c>
      <c r="D74" s="37" t="s">
        <v>61</v>
      </c>
    </row>
    <row r="75" spans="1:4" ht="15.75" customHeight="1">
      <c r="A75" s="38" t="s">
        <v>53</v>
      </c>
      <c r="B75" s="38">
        <v>7</v>
      </c>
      <c r="C75" s="38">
        <f>Socios!$E$8</f>
        <v>12</v>
      </c>
      <c r="D75" s="37" t="s">
        <v>54</v>
      </c>
    </row>
    <row r="76" spans="1:4" ht="15.75" customHeight="1">
      <c r="A76" s="38" t="s">
        <v>55</v>
      </c>
      <c r="B76" s="38">
        <v>7</v>
      </c>
      <c r="C76" s="38">
        <f>Socios!$E$8</f>
        <v>12</v>
      </c>
      <c r="D76" s="37" t="s">
        <v>54</v>
      </c>
    </row>
    <row r="77" spans="1:4" ht="15.75" customHeight="1">
      <c r="A77" s="38" t="s">
        <v>56</v>
      </c>
      <c r="B77" s="38">
        <v>7</v>
      </c>
      <c r="C77" s="38">
        <f>Socios!$E$8</f>
        <v>12</v>
      </c>
      <c r="D77" s="37" t="s">
        <v>54</v>
      </c>
    </row>
    <row r="78" spans="1:4" ht="15.75" customHeight="1">
      <c r="A78" s="38" t="s">
        <v>57</v>
      </c>
      <c r="B78" s="38">
        <v>7</v>
      </c>
      <c r="C78" s="38">
        <f>Socios!$E$8</f>
        <v>12</v>
      </c>
      <c r="D78" s="37" t="s">
        <v>54</v>
      </c>
    </row>
    <row r="79" spans="1:4" ht="15.75" customHeight="1">
      <c r="A79" s="38" t="s">
        <v>58</v>
      </c>
      <c r="B79" s="38">
        <v>7</v>
      </c>
      <c r="C79" s="38">
        <f>Socios!$E$8</f>
        <v>12</v>
      </c>
      <c r="D79" s="37" t="s">
        <v>61</v>
      </c>
    </row>
    <row r="80" spans="1:4" ht="15.75" customHeight="1">
      <c r="A80" s="38" t="s">
        <v>59</v>
      </c>
      <c r="B80" s="38">
        <v>7</v>
      </c>
      <c r="C80" s="38">
        <f>Socios!$E$8</f>
        <v>12</v>
      </c>
      <c r="D80" s="37" t="s">
        <v>61</v>
      </c>
    </row>
    <row r="81" spans="1:4" ht="15.75" customHeight="1">
      <c r="A81" s="38" t="s">
        <v>60</v>
      </c>
      <c r="B81" s="38">
        <v>7</v>
      </c>
      <c r="C81" s="38">
        <f>Socios!$E$8</f>
        <v>12</v>
      </c>
      <c r="D81" s="37" t="s">
        <v>61</v>
      </c>
    </row>
    <row r="82" spans="1:4" ht="15.75" customHeight="1">
      <c r="A82" s="38" t="s">
        <v>62</v>
      </c>
      <c r="B82" s="38">
        <v>7</v>
      </c>
      <c r="C82" s="38">
        <f>Socios!$E$8</f>
        <v>12</v>
      </c>
      <c r="D82" s="37" t="s">
        <v>61</v>
      </c>
    </row>
    <row r="83" spans="1:4" ht="15.75" customHeight="1">
      <c r="A83" s="38" t="s">
        <v>63</v>
      </c>
      <c r="B83" s="38">
        <v>7</v>
      </c>
      <c r="C83" s="38">
        <f>Socios!$E$8</f>
        <v>12</v>
      </c>
      <c r="D83" s="37" t="s">
        <v>61</v>
      </c>
    </row>
    <row r="84" spans="1:4" ht="15.75" customHeight="1">
      <c r="A84" s="38" t="s">
        <v>64</v>
      </c>
      <c r="B84" s="38">
        <v>7</v>
      </c>
      <c r="C84" s="38">
        <f>Socios!$E$8</f>
        <v>12</v>
      </c>
      <c r="D84" s="37" t="s">
        <v>61</v>
      </c>
    </row>
    <row r="85" spans="1:4" ht="15.75" customHeight="1">
      <c r="A85" s="38" t="s">
        <v>65</v>
      </c>
      <c r="B85" s="38">
        <v>7</v>
      </c>
      <c r="C85" s="38">
        <f>Socios!$E$8</f>
        <v>12</v>
      </c>
      <c r="D85" s="37" t="s">
        <v>61</v>
      </c>
    </row>
    <row r="86" spans="1:4" ht="15.75" customHeight="1">
      <c r="A86" s="38" t="s">
        <v>66</v>
      </c>
      <c r="B86" s="38">
        <v>7</v>
      </c>
      <c r="C86" s="38">
        <f>Socios!$E$8</f>
        <v>12</v>
      </c>
      <c r="D86" s="37" t="s">
        <v>61</v>
      </c>
    </row>
    <row r="87" spans="1:4" ht="15.75" customHeight="1">
      <c r="A87" s="38" t="s">
        <v>53</v>
      </c>
      <c r="B87" s="38">
        <v>8</v>
      </c>
      <c r="C87" s="38">
        <f>Socios!$E$9</f>
        <v>4</v>
      </c>
      <c r="D87" s="37" t="s">
        <v>54</v>
      </c>
    </row>
    <row r="88" spans="1:4" ht="15.75" customHeight="1">
      <c r="A88" s="38" t="s">
        <v>55</v>
      </c>
      <c r="B88" s="38">
        <v>8</v>
      </c>
      <c r="C88" s="38">
        <f>Socios!$E$9</f>
        <v>4</v>
      </c>
      <c r="D88" s="37" t="s">
        <v>54</v>
      </c>
    </row>
    <row r="89" spans="1:4" ht="15.75" customHeight="1">
      <c r="A89" s="38" t="s">
        <v>56</v>
      </c>
      <c r="B89" s="38">
        <v>8</v>
      </c>
      <c r="C89" s="38">
        <f>Socios!$E$9</f>
        <v>4</v>
      </c>
      <c r="D89" s="37" t="s">
        <v>54</v>
      </c>
    </row>
    <row r="90" spans="1:4" ht="15.75" customHeight="1">
      <c r="A90" s="38" t="s">
        <v>57</v>
      </c>
      <c r="B90" s="38">
        <v>8</v>
      </c>
      <c r="C90" s="38">
        <f>Socios!$E$9</f>
        <v>4</v>
      </c>
      <c r="D90" s="37" t="s">
        <v>54</v>
      </c>
    </row>
    <row r="91" spans="1:4" ht="15.75" customHeight="1">
      <c r="A91" s="38" t="s">
        <v>58</v>
      </c>
      <c r="B91" s="38">
        <v>8</v>
      </c>
      <c r="C91" s="38">
        <f>Socios!$E$9</f>
        <v>4</v>
      </c>
      <c r="D91" s="37" t="s">
        <v>61</v>
      </c>
    </row>
    <row r="92" spans="1:4" ht="15.75" customHeight="1">
      <c r="A92" s="38" t="s">
        <v>59</v>
      </c>
      <c r="B92" s="38">
        <v>8</v>
      </c>
      <c r="C92" s="38">
        <f>Socios!$E$9</f>
        <v>4</v>
      </c>
      <c r="D92" s="37" t="s">
        <v>61</v>
      </c>
    </row>
    <row r="93" spans="1:4" ht="15.75" customHeight="1">
      <c r="A93" s="38" t="s">
        <v>60</v>
      </c>
      <c r="B93" s="38">
        <v>8</v>
      </c>
      <c r="C93" s="38">
        <f>Socios!$E$9</f>
        <v>4</v>
      </c>
      <c r="D93" s="37" t="s">
        <v>61</v>
      </c>
    </row>
    <row r="94" spans="1:4" ht="15.75" customHeight="1">
      <c r="A94" s="38" t="s">
        <v>62</v>
      </c>
      <c r="B94" s="38">
        <v>8</v>
      </c>
      <c r="C94" s="38">
        <f>Socios!$E$9</f>
        <v>4</v>
      </c>
      <c r="D94" s="37" t="s">
        <v>61</v>
      </c>
    </row>
    <row r="95" spans="1:4" ht="15.75" customHeight="1">
      <c r="A95" s="38" t="s">
        <v>63</v>
      </c>
      <c r="B95" s="38">
        <v>8</v>
      </c>
      <c r="C95" s="38">
        <f>Socios!$E$9</f>
        <v>4</v>
      </c>
      <c r="D95" s="37" t="s">
        <v>61</v>
      </c>
    </row>
    <row r="96" spans="1:4" ht="15.75" customHeight="1">
      <c r="A96" s="38" t="s">
        <v>64</v>
      </c>
      <c r="B96" s="38">
        <v>8</v>
      </c>
      <c r="C96" s="38">
        <f>Socios!$E$9</f>
        <v>4</v>
      </c>
      <c r="D96" s="37" t="s">
        <v>61</v>
      </c>
    </row>
    <row r="97" spans="1:4" ht="15.75" customHeight="1">
      <c r="A97" s="38" t="s">
        <v>65</v>
      </c>
      <c r="B97" s="38">
        <v>8</v>
      </c>
      <c r="C97" s="38">
        <f>Socios!$E$9</f>
        <v>4</v>
      </c>
      <c r="D97" s="37" t="s">
        <v>61</v>
      </c>
    </row>
    <row r="98" spans="1:4" ht="15.75" customHeight="1">
      <c r="A98" s="38" t="s">
        <v>66</v>
      </c>
      <c r="B98" s="38">
        <v>8</v>
      </c>
      <c r="C98" s="38">
        <f>Socios!$E$9</f>
        <v>4</v>
      </c>
      <c r="D98" s="37" t="s">
        <v>61</v>
      </c>
    </row>
    <row r="99" spans="1:4" ht="15.75" customHeight="1">
      <c r="A99" s="38" t="s">
        <v>53</v>
      </c>
      <c r="B99" s="38">
        <v>9</v>
      </c>
      <c r="C99" s="38">
        <f>Socios!$E$10</f>
        <v>8</v>
      </c>
      <c r="D99" s="37" t="s">
        <v>54</v>
      </c>
    </row>
    <row r="100" spans="1:4" ht="15.75" customHeight="1">
      <c r="A100" s="38" t="s">
        <v>55</v>
      </c>
      <c r="B100" s="38">
        <v>9</v>
      </c>
      <c r="C100" s="38">
        <f>Socios!$E$10</f>
        <v>8</v>
      </c>
      <c r="D100" s="37" t="s">
        <v>54</v>
      </c>
    </row>
    <row r="101" spans="1:4" ht="15.75" customHeight="1">
      <c r="A101" s="38" t="s">
        <v>56</v>
      </c>
      <c r="B101" s="38">
        <v>9</v>
      </c>
      <c r="C101" s="38">
        <f>Socios!$E$10</f>
        <v>8</v>
      </c>
      <c r="D101" s="37" t="s">
        <v>54</v>
      </c>
    </row>
    <row r="102" spans="1:4" ht="15.75" customHeight="1">
      <c r="A102" s="38" t="s">
        <v>57</v>
      </c>
      <c r="B102" s="38">
        <v>9</v>
      </c>
      <c r="C102" s="38">
        <f>Socios!$E$10</f>
        <v>8</v>
      </c>
      <c r="D102" s="37" t="s">
        <v>54</v>
      </c>
    </row>
    <row r="103" spans="1:4" ht="15.75" customHeight="1">
      <c r="A103" s="38" t="s">
        <v>58</v>
      </c>
      <c r="B103" s="38">
        <v>9</v>
      </c>
      <c r="C103" s="38">
        <f>Socios!$E$10</f>
        <v>8</v>
      </c>
      <c r="D103" s="37" t="s">
        <v>61</v>
      </c>
    </row>
    <row r="104" spans="1:4" ht="15.75" customHeight="1">
      <c r="A104" s="38" t="s">
        <v>59</v>
      </c>
      <c r="B104" s="38">
        <v>9</v>
      </c>
      <c r="C104" s="38">
        <f>Socios!$E$10</f>
        <v>8</v>
      </c>
      <c r="D104" s="37" t="s">
        <v>61</v>
      </c>
    </row>
    <row r="105" spans="1:4" ht="15.75" customHeight="1">
      <c r="A105" s="38" t="s">
        <v>60</v>
      </c>
      <c r="B105" s="38">
        <v>9</v>
      </c>
      <c r="C105" s="38">
        <f>Socios!$E$10</f>
        <v>8</v>
      </c>
      <c r="D105" s="37" t="s">
        <v>61</v>
      </c>
    </row>
    <row r="106" spans="1:4" ht="15.75" customHeight="1">
      <c r="A106" s="38" t="s">
        <v>62</v>
      </c>
      <c r="B106" s="38">
        <v>9</v>
      </c>
      <c r="C106" s="38">
        <f>Socios!$E$10</f>
        <v>8</v>
      </c>
      <c r="D106" s="37" t="s">
        <v>61</v>
      </c>
    </row>
    <row r="107" spans="1:4" ht="15.75" customHeight="1">
      <c r="A107" s="38" t="s">
        <v>63</v>
      </c>
      <c r="B107" s="38">
        <v>9</v>
      </c>
      <c r="C107" s="38">
        <f>Socios!$E$10</f>
        <v>8</v>
      </c>
      <c r="D107" s="37" t="s">
        <v>61</v>
      </c>
    </row>
    <row r="108" spans="1:4" ht="15.75" customHeight="1">
      <c r="A108" s="38" t="s">
        <v>64</v>
      </c>
      <c r="B108" s="38">
        <v>9</v>
      </c>
      <c r="C108" s="38">
        <f>Socios!$E$10</f>
        <v>8</v>
      </c>
      <c r="D108" s="37" t="s">
        <v>61</v>
      </c>
    </row>
    <row r="109" spans="1:4" ht="15.75" customHeight="1">
      <c r="A109" s="38" t="s">
        <v>65</v>
      </c>
      <c r="B109" s="38">
        <v>9</v>
      </c>
      <c r="C109" s="38">
        <f>Socios!$E$10</f>
        <v>8</v>
      </c>
      <c r="D109" s="37" t="s">
        <v>61</v>
      </c>
    </row>
    <row r="110" spans="1:4" ht="15.75" customHeight="1">
      <c r="A110" s="38" t="s">
        <v>66</v>
      </c>
      <c r="B110" s="38">
        <v>9</v>
      </c>
      <c r="C110" s="38">
        <f>Socios!$E$10</f>
        <v>8</v>
      </c>
      <c r="D110" s="37" t="s">
        <v>61</v>
      </c>
    </row>
    <row r="111" spans="1:4" ht="15.75" customHeight="1">
      <c r="A111" s="38" t="s">
        <v>53</v>
      </c>
      <c r="B111" s="38">
        <v>10</v>
      </c>
      <c r="C111" s="38">
        <f>Socios!$E$11</f>
        <v>8</v>
      </c>
      <c r="D111" s="37" t="s">
        <v>54</v>
      </c>
    </row>
    <row r="112" spans="1:4" ht="15.75" customHeight="1">
      <c r="A112" s="38" t="s">
        <v>55</v>
      </c>
      <c r="B112" s="38">
        <v>10</v>
      </c>
      <c r="C112" s="38">
        <f>Socios!$E$11</f>
        <v>8</v>
      </c>
      <c r="D112" s="37" t="s">
        <v>54</v>
      </c>
    </row>
    <row r="113" spans="1:4" ht="15.75" customHeight="1">
      <c r="A113" s="38" t="s">
        <v>56</v>
      </c>
      <c r="B113" s="38">
        <v>10</v>
      </c>
      <c r="C113" s="38">
        <f>Socios!$E$11</f>
        <v>8</v>
      </c>
      <c r="D113" s="37" t="s">
        <v>54</v>
      </c>
    </row>
    <row r="114" spans="1:4" ht="15.75" customHeight="1">
      <c r="A114" s="38" t="s">
        <v>57</v>
      </c>
      <c r="B114" s="38">
        <v>10</v>
      </c>
      <c r="C114" s="38">
        <f>Socios!$E$11</f>
        <v>8</v>
      </c>
      <c r="D114" s="37" t="s">
        <v>54</v>
      </c>
    </row>
    <row r="115" spans="1:4" ht="15.75" customHeight="1">
      <c r="A115" s="38" t="s">
        <v>58</v>
      </c>
      <c r="B115" s="38">
        <v>10</v>
      </c>
      <c r="C115" s="38">
        <f>Socios!$E$11</f>
        <v>8</v>
      </c>
      <c r="D115" s="37" t="s">
        <v>61</v>
      </c>
    </row>
    <row r="116" spans="1:4" ht="15.75" customHeight="1">
      <c r="A116" s="38" t="s">
        <v>59</v>
      </c>
      <c r="B116" s="38">
        <v>10</v>
      </c>
      <c r="C116" s="38">
        <f>Socios!$E$11</f>
        <v>8</v>
      </c>
      <c r="D116" s="37" t="s">
        <v>61</v>
      </c>
    </row>
    <row r="117" spans="1:4" ht="15.75" customHeight="1">
      <c r="A117" s="38" t="s">
        <v>60</v>
      </c>
      <c r="B117" s="38">
        <v>10</v>
      </c>
      <c r="C117" s="38">
        <f>Socios!$E$11</f>
        <v>8</v>
      </c>
      <c r="D117" s="37" t="s">
        <v>61</v>
      </c>
    </row>
    <row r="118" spans="1:4" ht="15.75" customHeight="1">
      <c r="A118" s="38" t="s">
        <v>62</v>
      </c>
      <c r="B118" s="38">
        <v>10</v>
      </c>
      <c r="C118" s="38">
        <f>Socios!$E$11</f>
        <v>8</v>
      </c>
      <c r="D118" s="37" t="s">
        <v>61</v>
      </c>
    </row>
    <row r="119" spans="1:4" ht="15.75" customHeight="1">
      <c r="A119" s="38" t="s">
        <v>63</v>
      </c>
      <c r="B119" s="38">
        <v>10</v>
      </c>
      <c r="C119" s="38">
        <f>Socios!$E$11</f>
        <v>8</v>
      </c>
      <c r="D119" s="37" t="s">
        <v>61</v>
      </c>
    </row>
    <row r="120" spans="1:4" ht="15.75" customHeight="1">
      <c r="A120" s="38" t="s">
        <v>64</v>
      </c>
      <c r="B120" s="38">
        <v>10</v>
      </c>
      <c r="C120" s="38">
        <f>Socios!$E$11</f>
        <v>8</v>
      </c>
      <c r="D120" s="37" t="s">
        <v>61</v>
      </c>
    </row>
    <row r="121" spans="1:4" ht="15.75" customHeight="1">
      <c r="A121" s="38" t="s">
        <v>65</v>
      </c>
      <c r="B121" s="38">
        <v>10</v>
      </c>
      <c r="C121" s="38">
        <f>Socios!$E$11</f>
        <v>8</v>
      </c>
      <c r="D121" s="37" t="s">
        <v>61</v>
      </c>
    </row>
    <row r="122" spans="1:4" ht="15.75" customHeight="1">
      <c r="A122" s="46" t="s">
        <v>66</v>
      </c>
      <c r="B122" s="46">
        <v>10</v>
      </c>
      <c r="C122" s="46">
        <f>Socios!$E$11</f>
        <v>8</v>
      </c>
      <c r="D122" s="47" t="s">
        <v>61</v>
      </c>
    </row>
  </sheetData>
  <autoFilter ref="A2:I122" xr:uid="{00000000-0009-0000-0000-000002000000}"/>
  <mergeCells count="7">
    <mergeCell ref="Q1:R1"/>
    <mergeCell ref="S1:T1"/>
    <mergeCell ref="A1:D1"/>
    <mergeCell ref="F1:I1"/>
    <mergeCell ref="K1:L1"/>
    <mergeCell ref="N1:N2"/>
    <mergeCell ref="O1:P1"/>
  </mergeCells>
  <dataValidations count="1">
    <dataValidation type="list" allowBlank="1" showErrorMessage="1" sqref="I3:I38 D3:D122" xr:uid="{00000000-0002-0000-0200-000000000000}">
      <formula1>"Pagado,Pendiente"</formula1>
    </dataValidation>
  </dataValidation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50"/>
  <sheetViews>
    <sheetView showGridLines="0" workbookViewId="0"/>
  </sheetViews>
  <sheetFormatPr baseColWidth="10" defaultColWidth="14.42578125" defaultRowHeight="15" customHeight="1"/>
  <cols>
    <col min="2" max="2" width="27.85546875" customWidth="1"/>
  </cols>
  <sheetData>
    <row r="1" spans="1:10">
      <c r="A1" s="48"/>
      <c r="B1" s="49"/>
      <c r="C1" s="49"/>
      <c r="D1" s="49"/>
      <c r="E1" s="49"/>
      <c r="F1" s="49"/>
      <c r="G1" s="49"/>
      <c r="H1" s="49"/>
      <c r="I1" s="49"/>
      <c r="J1" s="50"/>
    </row>
    <row r="2" spans="1:10">
      <c r="A2" s="51"/>
      <c r="B2" s="52"/>
      <c r="C2" s="52"/>
      <c r="D2" s="52"/>
      <c r="E2" s="52"/>
      <c r="F2" s="52"/>
      <c r="G2" s="52"/>
      <c r="H2" s="52"/>
      <c r="I2" s="52"/>
      <c r="J2" s="50"/>
    </row>
    <row r="3" spans="1:10">
      <c r="A3" s="51"/>
      <c r="B3" s="52"/>
      <c r="C3" s="52"/>
      <c r="D3" s="52"/>
      <c r="E3" s="52"/>
      <c r="F3" s="52"/>
      <c r="G3" s="52"/>
      <c r="H3" s="52"/>
      <c r="I3" s="52"/>
      <c r="J3" s="50"/>
    </row>
    <row r="4" spans="1:10">
      <c r="A4" s="51"/>
      <c r="B4" s="52"/>
      <c r="C4" s="52"/>
      <c r="D4" s="52"/>
      <c r="E4" s="52"/>
      <c r="F4" s="52"/>
      <c r="G4" s="52"/>
      <c r="H4" s="52"/>
      <c r="I4" s="52"/>
      <c r="J4" s="50"/>
    </row>
    <row r="5" spans="1:10">
      <c r="A5" s="51"/>
      <c r="B5" s="52"/>
      <c r="C5" s="52"/>
      <c r="D5" s="52"/>
      <c r="E5" s="52"/>
      <c r="F5" s="52"/>
      <c r="G5" s="52"/>
      <c r="H5" s="52"/>
      <c r="I5" s="52"/>
      <c r="J5" s="50"/>
    </row>
    <row r="6" spans="1:10">
      <c r="A6" s="51"/>
      <c r="B6" s="52"/>
      <c r="C6" s="52"/>
      <c r="D6" s="52"/>
      <c r="E6" s="52"/>
      <c r="F6" s="52"/>
      <c r="G6" s="52"/>
      <c r="H6" s="52"/>
      <c r="I6" s="52"/>
      <c r="J6" s="50"/>
    </row>
    <row r="7" spans="1:10" ht="27.75">
      <c r="A7" s="187" t="s">
        <v>67</v>
      </c>
      <c r="B7" s="188"/>
      <c r="C7" s="188"/>
      <c r="D7" s="188"/>
      <c r="E7" s="188"/>
      <c r="F7" s="188"/>
      <c r="G7" s="188"/>
      <c r="H7" s="188"/>
      <c r="I7" s="189"/>
      <c r="J7" s="50"/>
    </row>
    <row r="8" spans="1:10">
      <c r="A8" s="51"/>
      <c r="B8" s="52"/>
      <c r="C8" s="52"/>
      <c r="D8" s="52"/>
      <c r="E8" s="52"/>
      <c r="F8" s="52"/>
      <c r="G8" s="52"/>
      <c r="H8" s="52"/>
      <c r="I8" s="52"/>
      <c r="J8" s="50"/>
    </row>
    <row r="9" spans="1:10">
      <c r="A9" s="51"/>
      <c r="B9" s="52"/>
      <c r="C9" s="52"/>
      <c r="D9" s="52"/>
      <c r="E9" s="52"/>
      <c r="F9" s="52"/>
      <c r="G9" s="52"/>
      <c r="H9" s="52"/>
      <c r="I9" s="52"/>
      <c r="J9" s="50"/>
    </row>
    <row r="10" spans="1:10">
      <c r="A10" s="51"/>
      <c r="B10" s="52"/>
      <c r="C10" s="52"/>
      <c r="D10" s="52"/>
      <c r="E10" s="52"/>
      <c r="F10" s="52"/>
      <c r="G10" s="52"/>
      <c r="H10" s="52"/>
      <c r="I10" s="52"/>
      <c r="J10" s="50"/>
    </row>
    <row r="11" spans="1:10">
      <c r="A11" s="51"/>
      <c r="B11" s="190" t="s">
        <v>68</v>
      </c>
      <c r="C11" s="192">
        <f>'Datos generales'!B4</f>
        <v>20</v>
      </c>
      <c r="D11" s="52"/>
      <c r="E11" s="52"/>
      <c r="F11" s="52"/>
      <c r="G11" s="52"/>
      <c r="H11" s="52"/>
      <c r="I11" s="52"/>
      <c r="J11" s="50"/>
    </row>
    <row r="12" spans="1:10">
      <c r="A12" s="51"/>
      <c r="B12" s="191"/>
      <c r="C12" s="191"/>
      <c r="D12" s="52"/>
      <c r="E12" s="52"/>
      <c r="F12" s="52"/>
      <c r="G12" s="52"/>
      <c r="H12" s="52"/>
      <c r="I12" s="52"/>
      <c r="J12" s="50"/>
    </row>
    <row r="13" spans="1:10">
      <c r="A13" s="51"/>
      <c r="B13" s="189"/>
      <c r="C13" s="189"/>
      <c r="D13" s="52"/>
      <c r="E13" s="52"/>
      <c r="F13" s="52"/>
      <c r="G13" s="52"/>
      <c r="H13" s="52"/>
      <c r="I13" s="52"/>
      <c r="J13" s="50"/>
    </row>
    <row r="14" spans="1:10">
      <c r="A14" s="51"/>
      <c r="B14" s="190" t="s">
        <v>69</v>
      </c>
      <c r="C14" s="193">
        <f>'Reparto economico'!L15</f>
        <v>33600</v>
      </c>
      <c r="D14" s="52"/>
      <c r="E14" s="52"/>
      <c r="F14" s="52"/>
      <c r="G14" s="52"/>
      <c r="H14" s="52"/>
      <c r="I14" s="52"/>
      <c r="J14" s="50"/>
    </row>
    <row r="15" spans="1:10">
      <c r="A15" s="51"/>
      <c r="B15" s="191"/>
      <c r="C15" s="191"/>
      <c r="D15" s="52"/>
      <c r="E15" s="52"/>
      <c r="F15" s="52"/>
      <c r="G15" s="52"/>
      <c r="H15" s="52"/>
      <c r="I15" s="52"/>
      <c r="J15" s="50"/>
    </row>
    <row r="16" spans="1:10">
      <c r="A16" s="51"/>
      <c r="B16" s="189"/>
      <c r="C16" s="189"/>
      <c r="D16" s="52"/>
      <c r="E16" s="52"/>
      <c r="F16" s="52"/>
      <c r="G16" s="52"/>
      <c r="H16" s="52"/>
      <c r="I16" s="52"/>
      <c r="J16" s="50"/>
    </row>
    <row r="17" spans="1:10">
      <c r="A17" s="51"/>
      <c r="B17" s="190" t="s">
        <v>70</v>
      </c>
      <c r="C17" s="193">
        <f>'Media socios'!D15</f>
        <v>30774.309999999998</v>
      </c>
      <c r="D17" s="52"/>
      <c r="E17" s="52"/>
      <c r="F17" s="52"/>
      <c r="G17" s="52"/>
      <c r="H17" s="52"/>
      <c r="I17" s="52"/>
      <c r="J17" s="50"/>
    </row>
    <row r="18" spans="1:10">
      <c r="A18" s="51"/>
      <c r="B18" s="191"/>
      <c r="C18" s="191"/>
      <c r="D18" s="52"/>
      <c r="E18" s="52"/>
      <c r="F18" s="52"/>
      <c r="G18" s="52"/>
      <c r="H18" s="52"/>
      <c r="I18" s="52"/>
      <c r="J18" s="50"/>
    </row>
    <row r="19" spans="1:10" ht="25.5" customHeight="1">
      <c r="A19" s="51"/>
      <c r="B19" s="189"/>
      <c r="C19" s="189"/>
      <c r="D19" s="52"/>
      <c r="E19" s="52"/>
      <c r="F19" s="52"/>
      <c r="G19" s="52"/>
      <c r="H19" s="52"/>
      <c r="I19" s="52"/>
      <c r="J19" s="50"/>
    </row>
    <row r="20" spans="1:10">
      <c r="A20" s="51"/>
      <c r="B20" s="190" t="s">
        <v>71</v>
      </c>
      <c r="C20" s="192">
        <f>C14*'Media socios'!J2/'Media socios'!J3</f>
        <v>79.967999999999989</v>
      </c>
      <c r="D20" s="52"/>
      <c r="E20" s="52"/>
      <c r="F20" s="52"/>
      <c r="G20" s="52"/>
      <c r="H20" s="52"/>
      <c r="I20" s="52"/>
      <c r="J20" s="50"/>
    </row>
    <row r="21" spans="1:10">
      <c r="A21" s="51"/>
      <c r="B21" s="191"/>
      <c r="C21" s="191"/>
      <c r="D21" s="52"/>
      <c r="E21" s="52"/>
      <c r="F21" s="52"/>
      <c r="G21" s="52"/>
      <c r="H21" s="52"/>
      <c r="I21" s="52"/>
      <c r="J21" s="50"/>
    </row>
    <row r="22" spans="1:10">
      <c r="A22" s="51"/>
      <c r="B22" s="189"/>
      <c r="C22" s="189"/>
      <c r="D22" s="52"/>
      <c r="E22" s="52"/>
      <c r="F22" s="52"/>
      <c r="G22" s="52"/>
      <c r="H22" s="52"/>
      <c r="I22" s="52"/>
      <c r="J22" s="50"/>
    </row>
    <row r="23" spans="1:10">
      <c r="A23" s="51"/>
      <c r="B23" s="52"/>
      <c r="C23" s="52"/>
      <c r="D23" s="52"/>
      <c r="E23" s="52"/>
      <c r="F23" s="52"/>
      <c r="G23" s="52"/>
      <c r="H23" s="52"/>
      <c r="I23" s="52"/>
      <c r="J23" s="50"/>
    </row>
    <row r="24" spans="1:10">
      <c r="A24" s="51"/>
      <c r="B24" s="52"/>
      <c r="C24" s="52"/>
      <c r="D24" s="52"/>
      <c r="E24" s="52"/>
      <c r="F24" s="52"/>
      <c r="G24" s="52"/>
      <c r="H24" s="52"/>
      <c r="I24" s="52"/>
      <c r="J24" s="50"/>
    </row>
    <row r="25" spans="1:10">
      <c r="A25" s="51"/>
      <c r="B25" s="52"/>
      <c r="C25" s="52"/>
      <c r="D25" s="52"/>
      <c r="E25" s="52"/>
      <c r="F25" s="52"/>
      <c r="G25" s="52"/>
      <c r="H25" s="52"/>
      <c r="I25" s="52"/>
      <c r="J25" s="50"/>
    </row>
    <row r="26" spans="1:10">
      <c r="A26" s="51"/>
      <c r="B26" s="52"/>
      <c r="C26" s="52"/>
      <c r="D26" s="52"/>
      <c r="E26" s="52"/>
      <c r="F26" s="52"/>
      <c r="G26" s="52"/>
      <c r="H26" s="52"/>
      <c r="I26" s="52"/>
      <c r="J26" s="50"/>
    </row>
    <row r="27" spans="1:10">
      <c r="A27" s="51"/>
      <c r="B27" s="52"/>
      <c r="C27" s="52"/>
      <c r="D27" s="52"/>
      <c r="E27" s="52"/>
      <c r="F27" s="52"/>
      <c r="G27" s="52"/>
      <c r="H27" s="52"/>
      <c r="I27" s="52"/>
      <c r="J27" s="50"/>
    </row>
    <row r="28" spans="1:10">
      <c r="A28" s="51"/>
      <c r="B28" s="52"/>
      <c r="C28" s="52"/>
      <c r="D28" s="52"/>
      <c r="E28" s="52"/>
      <c r="F28" s="52"/>
      <c r="G28" s="52"/>
      <c r="H28" s="52"/>
      <c r="I28" s="52"/>
      <c r="J28" s="50"/>
    </row>
    <row r="29" spans="1:10" ht="27.75">
      <c r="A29" s="187" t="s">
        <v>72</v>
      </c>
      <c r="B29" s="188"/>
      <c r="C29" s="188"/>
      <c r="D29" s="188"/>
      <c r="E29" s="188"/>
      <c r="F29" s="188"/>
      <c r="G29" s="188"/>
      <c r="H29" s="188"/>
      <c r="I29" s="189"/>
      <c r="J29" s="50"/>
    </row>
    <row r="30" spans="1:10">
      <c r="A30" s="51"/>
      <c r="B30" s="52"/>
      <c r="C30" s="52"/>
      <c r="D30" s="52"/>
      <c r="E30" s="52"/>
      <c r="F30" s="52"/>
      <c r="G30" s="52"/>
      <c r="H30" s="52"/>
      <c r="I30" s="52"/>
      <c r="J30" s="50"/>
    </row>
    <row r="31" spans="1:10">
      <c r="A31" s="51"/>
      <c r="B31" s="52"/>
      <c r="C31" s="52"/>
      <c r="D31" s="52"/>
      <c r="E31" s="52"/>
      <c r="F31" s="52"/>
      <c r="G31" s="52"/>
      <c r="H31" s="52"/>
      <c r="I31" s="52"/>
      <c r="J31" s="50"/>
    </row>
    <row r="32" spans="1:10">
      <c r="A32" s="51"/>
      <c r="B32" s="52"/>
      <c r="C32" s="52"/>
      <c r="D32" s="52"/>
      <c r="E32" s="52"/>
      <c r="F32" s="52"/>
      <c r="G32" s="52"/>
      <c r="H32" s="52"/>
      <c r="I32" s="52"/>
      <c r="J32" s="50"/>
    </row>
    <row r="33" spans="1:10">
      <c r="A33" s="51"/>
      <c r="B33" s="196" t="s">
        <v>73</v>
      </c>
      <c r="C33" s="192">
        <f>'Media socios'!F15</f>
        <v>4572.1666372099999</v>
      </c>
      <c r="D33" s="52"/>
      <c r="E33" s="52"/>
      <c r="F33" s="52"/>
      <c r="G33" s="52"/>
      <c r="H33" s="52"/>
      <c r="I33" s="52"/>
      <c r="J33" s="50"/>
    </row>
    <row r="34" spans="1:10">
      <c r="A34" s="51"/>
      <c r="B34" s="191"/>
      <c r="C34" s="191"/>
      <c r="D34" s="52"/>
      <c r="E34" s="52"/>
      <c r="F34" s="52"/>
      <c r="G34" s="52"/>
      <c r="H34" s="52"/>
      <c r="I34" s="52"/>
      <c r="J34" s="50"/>
    </row>
    <row r="35" spans="1:10">
      <c r="A35" s="51"/>
      <c r="B35" s="189"/>
      <c r="C35" s="189"/>
      <c r="D35" s="52"/>
      <c r="E35" s="52"/>
      <c r="F35" s="52"/>
      <c r="G35" s="52"/>
      <c r="H35" s="52"/>
      <c r="I35" s="52"/>
      <c r="J35" s="50"/>
    </row>
    <row r="36" spans="1:10">
      <c r="A36" s="51"/>
      <c r="B36" s="190" t="s">
        <v>74</v>
      </c>
      <c r="C36" s="197">
        <f>'Media socios'!G15</f>
        <v>0.2286083318605</v>
      </c>
      <c r="D36" s="52"/>
      <c r="E36" s="52"/>
      <c r="F36" s="52"/>
      <c r="G36" s="52"/>
      <c r="H36" s="52"/>
      <c r="I36" s="52"/>
      <c r="J36" s="50"/>
    </row>
    <row r="37" spans="1:10">
      <c r="A37" s="51"/>
      <c r="B37" s="191"/>
      <c r="C37" s="191"/>
      <c r="D37" s="52"/>
      <c r="E37" s="52"/>
      <c r="F37" s="52"/>
      <c r="G37" s="52"/>
      <c r="H37" s="52"/>
      <c r="I37" s="52"/>
      <c r="J37" s="50"/>
    </row>
    <row r="38" spans="1:10">
      <c r="A38" s="51"/>
      <c r="B38" s="189"/>
      <c r="C38" s="189"/>
      <c r="D38" s="52"/>
      <c r="E38" s="52"/>
      <c r="F38" s="52"/>
      <c r="G38" s="52"/>
      <c r="H38" s="52"/>
      <c r="I38" s="52"/>
      <c r="J38" s="50"/>
    </row>
    <row r="39" spans="1:10">
      <c r="A39" s="51"/>
      <c r="B39" s="190" t="s">
        <v>75</v>
      </c>
      <c r="C39" s="192">
        <f>1/C36</f>
        <v>4.3742937620060758</v>
      </c>
      <c r="D39" s="52"/>
      <c r="E39" s="52"/>
      <c r="F39" s="52"/>
      <c r="G39" s="52"/>
      <c r="H39" s="52"/>
      <c r="I39" s="52"/>
      <c r="J39" s="50"/>
    </row>
    <row r="40" spans="1:10">
      <c r="A40" s="51"/>
      <c r="B40" s="191"/>
      <c r="C40" s="191"/>
      <c r="D40" s="52"/>
      <c r="E40" s="52"/>
      <c r="F40" s="52"/>
      <c r="G40" s="52"/>
      <c r="H40" s="52"/>
      <c r="I40" s="52"/>
      <c r="J40" s="50"/>
    </row>
    <row r="41" spans="1:10">
      <c r="A41" s="51"/>
      <c r="B41" s="189"/>
      <c r="C41" s="189"/>
      <c r="D41" s="52"/>
      <c r="E41" s="52"/>
      <c r="F41" s="52"/>
      <c r="G41" s="52"/>
      <c r="H41" s="52"/>
      <c r="I41" s="52"/>
      <c r="J41" s="50"/>
    </row>
    <row r="42" spans="1:10">
      <c r="A42" s="51"/>
      <c r="B42" s="190" t="s">
        <v>76</v>
      </c>
      <c r="C42" s="193">
        <f>SUM('Media socios'!B18:B42)</f>
        <v>137280.32174613696</v>
      </c>
      <c r="D42" s="52"/>
      <c r="E42" s="52"/>
      <c r="F42" s="52"/>
      <c r="G42" s="52"/>
      <c r="H42" s="52"/>
      <c r="I42" s="52"/>
      <c r="J42" s="50"/>
    </row>
    <row r="43" spans="1:10">
      <c r="A43" s="51"/>
      <c r="B43" s="191"/>
      <c r="C43" s="191"/>
      <c r="D43" s="52"/>
      <c r="E43" s="52"/>
      <c r="F43" s="52"/>
      <c r="G43" s="52"/>
      <c r="H43" s="52"/>
      <c r="I43" s="52"/>
      <c r="J43" s="50"/>
    </row>
    <row r="44" spans="1:10">
      <c r="A44" s="51"/>
      <c r="B44" s="189"/>
      <c r="C44" s="189"/>
      <c r="D44" s="52"/>
      <c r="E44" s="52"/>
      <c r="F44" s="52"/>
      <c r="G44" s="52"/>
      <c r="H44" s="52"/>
      <c r="I44" s="52"/>
      <c r="J44" s="50"/>
    </row>
    <row r="45" spans="1:10">
      <c r="A45" s="51"/>
      <c r="B45" s="194"/>
      <c r="C45" s="195"/>
      <c r="D45" s="52"/>
      <c r="E45" s="52"/>
      <c r="F45" s="52"/>
      <c r="G45" s="52"/>
      <c r="H45" s="52"/>
      <c r="I45" s="52"/>
      <c r="J45" s="50"/>
    </row>
    <row r="46" spans="1:10">
      <c r="A46" s="51"/>
      <c r="B46" s="191"/>
      <c r="C46" s="191"/>
      <c r="D46" s="52"/>
      <c r="E46" s="52"/>
      <c r="F46" s="52"/>
      <c r="G46" s="52"/>
      <c r="H46" s="52"/>
      <c r="I46" s="52"/>
      <c r="J46" s="50"/>
    </row>
    <row r="47" spans="1:10">
      <c r="A47" s="51"/>
      <c r="B47" s="189"/>
      <c r="C47" s="189"/>
      <c r="D47" s="52"/>
      <c r="E47" s="52"/>
      <c r="F47" s="52"/>
      <c r="G47" s="52"/>
      <c r="H47" s="52"/>
      <c r="I47" s="52"/>
      <c r="J47" s="50"/>
    </row>
    <row r="48" spans="1:10">
      <c r="A48" s="51"/>
      <c r="B48" s="52"/>
      <c r="C48" s="52"/>
      <c r="D48" s="52"/>
      <c r="E48" s="52"/>
      <c r="F48" s="52"/>
      <c r="G48" s="52"/>
      <c r="H48" s="52"/>
      <c r="I48" s="52"/>
      <c r="J48" s="50"/>
    </row>
    <row r="49" spans="1:10">
      <c r="A49" s="51"/>
      <c r="B49" s="52"/>
      <c r="C49" s="52"/>
      <c r="D49" s="52"/>
      <c r="E49" s="52"/>
      <c r="F49" s="52"/>
      <c r="G49" s="52"/>
      <c r="H49" s="52"/>
      <c r="I49" s="52"/>
      <c r="J49" s="50"/>
    </row>
    <row r="50" spans="1:10">
      <c r="A50" s="51"/>
      <c r="B50" s="52"/>
      <c r="C50" s="52"/>
      <c r="D50" s="52"/>
      <c r="E50" s="52"/>
      <c r="F50" s="52"/>
      <c r="G50" s="52"/>
      <c r="H50" s="52"/>
      <c r="I50" s="52"/>
      <c r="J50" s="50"/>
    </row>
  </sheetData>
  <mergeCells count="20">
    <mergeCell ref="B45:B47"/>
    <mergeCell ref="C45:C47"/>
    <mergeCell ref="B20:B22"/>
    <mergeCell ref="C20:C22"/>
    <mergeCell ref="A29:I29"/>
    <mergeCell ref="B33:B35"/>
    <mergeCell ref="C33:C35"/>
    <mergeCell ref="B36:B38"/>
    <mergeCell ref="C36:C38"/>
    <mergeCell ref="B17:B19"/>
    <mergeCell ref="C17:C19"/>
    <mergeCell ref="B39:B41"/>
    <mergeCell ref="C39:C41"/>
    <mergeCell ref="B42:B44"/>
    <mergeCell ref="C42:C44"/>
    <mergeCell ref="A7:I7"/>
    <mergeCell ref="B11:B13"/>
    <mergeCell ref="C11:C13"/>
    <mergeCell ref="B14:B16"/>
    <mergeCell ref="C14:C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42"/>
  <sheetViews>
    <sheetView showGridLines="0" workbookViewId="0"/>
  </sheetViews>
  <sheetFormatPr baseColWidth="10" defaultColWidth="14.42578125" defaultRowHeight="15" customHeight="1"/>
  <cols>
    <col min="2" max="2" width="25.7109375" customWidth="1"/>
    <col min="3" max="3" width="27.42578125" customWidth="1"/>
    <col min="4" max="4" width="32.42578125" customWidth="1"/>
    <col min="5" max="5" width="21.85546875" customWidth="1"/>
    <col min="6" max="6" width="23.7109375" customWidth="1"/>
    <col min="7" max="7" width="17.140625" customWidth="1"/>
    <col min="9" max="9" width="51.140625" customWidth="1"/>
    <col min="10" max="10" width="6.5703125" customWidth="1"/>
  </cols>
  <sheetData>
    <row r="1" spans="1:10">
      <c r="A1" s="53"/>
    </row>
    <row r="2" spans="1:10" ht="15" customHeight="1">
      <c r="A2" s="1" t="s">
        <v>43</v>
      </c>
      <c r="B2" s="54" t="s">
        <v>77</v>
      </c>
      <c r="C2" s="55" t="s">
        <v>78</v>
      </c>
      <c r="D2" s="55" t="s">
        <v>79</v>
      </c>
      <c r="E2" s="55" t="s">
        <v>80</v>
      </c>
      <c r="F2" s="55" t="s">
        <v>81</v>
      </c>
      <c r="G2" s="56" t="s">
        <v>82</v>
      </c>
      <c r="I2" s="57" t="s">
        <v>83</v>
      </c>
      <c r="J2" s="58">
        <v>0.35699999999999998</v>
      </c>
    </row>
    <row r="3" spans="1:10">
      <c r="A3" s="38" t="s">
        <v>84</v>
      </c>
      <c r="B3" s="24">
        <f>'Reparto economico'!L3</f>
        <v>1600</v>
      </c>
      <c r="C3" s="59">
        <f>'Socio 1'!B6+SUM('Socio 2'!B7:D7)+'Socio 3'!B6+SUM('Socio 4'!B7:D7)+'Socio 5'!B6+'Socio 6'!B6+SUM('Socio 7'!B7:D7)+'Socio 8'!B6+SUM('Socio 9'!B7:D7)+SUM('Socio 10'!B7:D7)</f>
        <v>3692.64</v>
      </c>
      <c r="D3" s="59">
        <f>'Socio 1'!G6+'Socio 2'!K7+'Socio 3'!G6+'Socio 4'!K7+'Socio 5'!G6+'Socio 6'!G6+'Socio 7'!K7+'Socio 8'!G6+'Socio 9'!K7+'Socio 10'!K7</f>
        <v>1590</v>
      </c>
      <c r="E3" s="60">
        <f>'Socio 1'!H6+'Socio 2'!Q7+'Socio 3'!H6+'Socio 4'!Q7+'Socio 5'!H6+'Socio 6'!H6+'Socio 7'!Q7+'Socio 8'!H6+'Socio 9'!Q7+'Socio 10'!Q7</f>
        <v>200.31164000000001</v>
      </c>
      <c r="F3" s="60">
        <f>E3</f>
        <v>200.31164000000001</v>
      </c>
      <c r="G3" s="61">
        <f>F3/'Datos generales'!$B$2</f>
        <v>1.0015582E-2</v>
      </c>
      <c r="I3" s="62" t="s">
        <v>85</v>
      </c>
      <c r="J3" s="63">
        <v>150</v>
      </c>
    </row>
    <row r="4" spans="1:10">
      <c r="A4" s="38" t="s">
        <v>86</v>
      </c>
      <c r="B4" s="24">
        <f>'Reparto economico'!L4</f>
        <v>2000</v>
      </c>
      <c r="C4" s="59">
        <f>'Socio 1'!B7+SUM('Socio 2'!B8:D8)+'Socio 3'!B7+SUM('Socio 4'!B8:D8)+'Socio 5'!B7+'Socio 6'!B7+SUM('Socio 7'!B8:D8)+'Socio 8'!B7+SUM('Socio 9'!B8:D8)+SUM('Socio 10'!B8:D8)</f>
        <v>3325.1900000000005</v>
      </c>
      <c r="D4" s="59">
        <f>'Socio 1'!G7+'Socio 2'!K8+'Socio 3'!G7+'Socio 4'!K8+'Socio 5'!G7+'Socio 6'!G7+'Socio 7'!K8+'Socio 8'!G7+'Socio 9'!K8+'Socio 10'!K8</f>
        <v>1980</v>
      </c>
      <c r="E4" s="60">
        <f>'Socio 1'!H7+'Socio 2'!Q8+'Socio 3'!H7+'Socio 4'!Q8+'Socio 5'!H7+'Socio 6'!H7+'Socio 7'!Q8+'Socio 8'!H7+'Socio 9'!Q8+'Socio 10'!Q8</f>
        <v>256.27279999999996</v>
      </c>
      <c r="F4" s="60">
        <f t="shared" ref="F4:F14" si="0">F3+E4</f>
        <v>456.58443999999997</v>
      </c>
      <c r="G4" s="61">
        <f>F4/'Datos generales'!$B$2</f>
        <v>2.2829222E-2</v>
      </c>
    </row>
    <row r="5" spans="1:10">
      <c r="A5" s="38" t="s">
        <v>87</v>
      </c>
      <c r="B5" s="24">
        <f>'Reparto economico'!L5</f>
        <v>2800</v>
      </c>
      <c r="C5" s="59">
        <f>'Socio 1'!B8+SUM('Socio 2'!B9:D9)+'Socio 3'!B8+SUM('Socio 4'!B9:D9)+'Socio 5'!B8+'Socio 6'!B8+SUM('Socio 7'!B9:D9)+'Socio 8'!B8+SUM('Socio 9'!B9:D9)+SUM('Socio 10'!B9:D9)</f>
        <v>3794.8800000000006</v>
      </c>
      <c r="D5" s="59">
        <f>'Socio 1'!G8+'Socio 2'!K9+'Socio 3'!G8+'Socio 4'!K9+'Socio 5'!G8+'Socio 6'!G8+'Socio 7'!K9+'Socio 8'!G8+'Socio 9'!K9+'Socio 10'!K9</f>
        <v>2785</v>
      </c>
      <c r="E5" s="60">
        <f>'Socio 1'!H8+'Socio 2'!Q9+'Socio 3'!H8+'Socio 4'!Q9+'Socio 5'!H8+'Socio 6'!H8+'Socio 7'!Q9+'Socio 8'!H8+'Socio 9'!Q9+'Socio 10'!Q9</f>
        <v>418.24964</v>
      </c>
      <c r="F5" s="60">
        <f t="shared" si="0"/>
        <v>874.83407999999997</v>
      </c>
      <c r="G5" s="61">
        <f>F5/'Datos generales'!$B$2</f>
        <v>4.3741703999999999E-2</v>
      </c>
    </row>
    <row r="6" spans="1:10">
      <c r="A6" s="38" t="s">
        <v>88</v>
      </c>
      <c r="B6" s="24">
        <f>'Reparto economico'!L6</f>
        <v>3200</v>
      </c>
      <c r="C6" s="59">
        <f>'Socio 1'!B9+SUM('Socio 2'!B10:D10)+'Socio 3'!B9+SUM('Socio 4'!B10:D10)+'Socio 5'!B9+'Socio 6'!B9+SUM('Socio 7'!B10:D10)+'Socio 8'!B9+SUM('Socio 9'!B10:D10)+SUM('Socio 10'!B10:D10)</f>
        <v>3297.7899999999995</v>
      </c>
      <c r="D6" s="59">
        <f>'Socio 1'!G9+'Socio 2'!K10+'Socio 3'!G9+'Socio 4'!K10+'Socio 5'!G9+'Socio 6'!G9+'Socio 7'!K10+'Socio 8'!G9+'Socio 9'!K10+'Socio 10'!K10</f>
        <v>2980.86</v>
      </c>
      <c r="E6" s="60">
        <f>'Socio 1'!H9+'Socio 2'!Q10+'Socio 3'!H9+'Socio 4'!Q10+'Socio 5'!H9+'Socio 6'!H9+'Socio 7'!Q10+'Socio 8'!H9+'Socio 9'!Q10+'Socio 10'!Q10</f>
        <v>449.68083372000007</v>
      </c>
      <c r="F6" s="60">
        <f t="shared" si="0"/>
        <v>1324.5149137200001</v>
      </c>
      <c r="G6" s="61">
        <f>F6/'Datos generales'!$B$2</f>
        <v>6.6225745686000009E-2</v>
      </c>
    </row>
    <row r="7" spans="1:10">
      <c r="A7" s="64" t="s">
        <v>89</v>
      </c>
      <c r="B7" s="24">
        <f>'Reparto economico'!L7</f>
        <v>3600</v>
      </c>
      <c r="C7" s="59">
        <f>'Socio 1'!B10+SUM('Socio 2'!B11:D11)+'Socio 3'!B10+SUM('Socio 4'!B11:D11)+'Socio 5'!B10+'Socio 6'!B10+SUM('Socio 7'!B11:D11)+'Socio 8'!B10+SUM('Socio 9'!B11:D11)+SUM('Socio 10'!B11:D11)</f>
        <v>3384.7599999999993</v>
      </c>
      <c r="D7" s="59">
        <f>'Socio 1'!G10+'Socio 2'!K11+'Socio 3'!G10+'Socio 4'!K11+'Socio 5'!G10+'Socio 6'!G10+'Socio 7'!K11+'Socio 8'!G10+'Socio 9'!K11+'Socio 10'!K11</f>
        <v>3127.0199999999995</v>
      </c>
      <c r="E7" s="60">
        <f>'Socio 1'!H10+'Socio 2'!Q11+'Socio 3'!H10+'Socio 4'!Q11+'Socio 5'!H10+'Socio 6'!H10+'Socio 7'!Q11+'Socio 8'!H10+'Socio 9'!Q11+'Socio 10'!Q11</f>
        <v>496.60046983999996</v>
      </c>
      <c r="F7" s="60">
        <f t="shared" si="0"/>
        <v>1821.1153835600001</v>
      </c>
      <c r="G7" s="61">
        <f>F7/'Datos generales'!$B$2</f>
        <v>9.1055769177999998E-2</v>
      </c>
    </row>
    <row r="8" spans="1:10">
      <c r="A8" s="64" t="s">
        <v>90</v>
      </c>
      <c r="B8" s="24">
        <f>'Reparto economico'!L8</f>
        <v>3600</v>
      </c>
      <c r="C8" s="59">
        <f>'Socio 1'!B11+SUM('Socio 2'!B12:D12)+'Socio 3'!B11+SUM('Socio 4'!B12:D12)+'Socio 5'!B11+'Socio 6'!B11+SUM('Socio 7'!B12:D12)+'Socio 8'!B11+SUM('Socio 9'!B12:D12)+SUM('Socio 10'!B12:D12)</f>
        <v>3501.0899999999997</v>
      </c>
      <c r="D8" s="59">
        <f>'Socio 1'!G11+'Socio 2'!K12+'Socio 3'!G11+'Socio 4'!K12+'Socio 5'!G11+'Socio 6'!G11+'Socio 7'!K12+'Socio 8'!G11+'Socio 9'!K12+'Socio 10'!K12</f>
        <v>3154.5499999999997</v>
      </c>
      <c r="E8" s="60">
        <f>'Socio 1'!H11+'Socio 2'!Q12+'Socio 3'!H11+'Socio 4'!Q12+'Socio 5'!H11+'Socio 6'!H11+'Socio 7'!Q12+'Socio 8'!H11+'Socio 9'!Q12+'Socio 10'!Q12</f>
        <v>505.06597703000006</v>
      </c>
      <c r="F8" s="60">
        <f t="shared" si="0"/>
        <v>2326.1813605900002</v>
      </c>
      <c r="G8" s="61">
        <f>F8/'Datos generales'!$B$2</f>
        <v>0.11630906802950002</v>
      </c>
    </row>
    <row r="9" spans="1:10">
      <c r="A9" s="64" t="s">
        <v>91</v>
      </c>
      <c r="B9" s="24">
        <f>'Reparto economico'!L9</f>
        <v>4000</v>
      </c>
      <c r="C9" s="59">
        <f>'Socio 1'!B12+SUM('Socio 2'!B13:D13)+'Socio 3'!B12+SUM('Socio 4'!B13:D13)+'Socio 5'!B12+'Socio 6'!B12+SUM('Socio 7'!B13:D13)+'Socio 8'!B12+SUM('Socio 9'!B13:D13)+SUM('Socio 10'!B13:D13)</f>
        <v>3340.5499999999997</v>
      </c>
      <c r="D9" s="59">
        <f>'Socio 1'!G12+'Socio 2'!K13+'Socio 3'!G12+'Socio 4'!K13+'Socio 5'!G12+'Socio 6'!G12+'Socio 7'!K13+'Socio 8'!G12+'Socio 9'!K13+'Socio 10'!K13</f>
        <v>3213.2200000000003</v>
      </c>
      <c r="E9" s="60">
        <f>'Socio 1'!H12+'Socio 2'!Q13+'Socio 3'!H12+'Socio 4'!Q13+'Socio 5'!H12+'Socio 6'!H12+'Socio 7'!Q13+'Socio 8'!H12+'Socio 9'!Q13+'Socio 10'!Q13</f>
        <v>516.83110427999986</v>
      </c>
      <c r="F9" s="60">
        <f t="shared" si="0"/>
        <v>2843.0124648700003</v>
      </c>
      <c r="G9" s="61">
        <f>F9/'Datos generales'!$B$2</f>
        <v>0.1421506232435</v>
      </c>
    </row>
    <row r="10" spans="1:10">
      <c r="A10" s="64" t="s">
        <v>92</v>
      </c>
      <c r="B10" s="24">
        <f>'Reparto economico'!L10</f>
        <v>3800</v>
      </c>
      <c r="C10" s="59">
        <f>'Socio 1'!B13+SUM('Socio 2'!B14:D14)+'Socio 3'!B13+SUM('Socio 4'!B14:D14)+'Socio 5'!B13+'Socio 6'!B13+SUM('Socio 7'!B14:D14)+'Socio 8'!B13+SUM('Socio 9'!B14:D14)+SUM('Socio 10'!B14:D14)</f>
        <v>3225.5199999999995</v>
      </c>
      <c r="D10" s="59">
        <f>'Socio 1'!G13+'Socio 2'!K14+'Socio 3'!G13+'Socio 4'!K14+'Socio 5'!G13+'Socio 6'!G13+'Socio 7'!K14+'Socio 8'!G13+'Socio 9'!K14+'Socio 10'!K14</f>
        <v>3186.1899999999996</v>
      </c>
      <c r="E10" s="60">
        <f>'Socio 1'!H13+'Socio 2'!Q14+'Socio 3'!H13+'Socio 4'!Q14+'Socio 5'!H13+'Socio 6'!H13+'Socio 7'!Q14+'Socio 8'!H13+'Socio 9'!Q14+'Socio 10'!Q14</f>
        <v>510.70616426000004</v>
      </c>
      <c r="F10" s="60">
        <f t="shared" si="0"/>
        <v>3353.7186291300004</v>
      </c>
      <c r="G10" s="61">
        <f>F10/'Datos generales'!$B$2</f>
        <v>0.16768593145650001</v>
      </c>
    </row>
    <row r="11" spans="1:10">
      <c r="A11" s="64" t="s">
        <v>93</v>
      </c>
      <c r="B11" s="24">
        <f>'Reparto economico'!L11</f>
        <v>3200</v>
      </c>
      <c r="C11" s="59">
        <f>'Socio 1'!B14+SUM('Socio 2'!B15:D15)+'Socio 3'!B14+SUM('Socio 4'!B15:D15)+'Socio 5'!B14+'Socio 6'!B14+SUM('Socio 7'!B15:D15)+'Socio 8'!B14+SUM('Socio 9'!B15:D15)+SUM('Socio 10'!B15:D15)</f>
        <v>3385.2999999999997</v>
      </c>
      <c r="D11" s="59">
        <f>'Socio 1'!G14+'Socio 2'!K15+'Socio 3'!G14+'Socio 4'!K15+'Socio 5'!G14+'Socio 6'!G14+'Socio 7'!K15+'Socio 8'!G14+'Socio 9'!K15+'Socio 10'!K15</f>
        <v>3009.12</v>
      </c>
      <c r="E11" s="60">
        <f>'Socio 1'!H14+'Socio 2'!Q15+'Socio 3'!H14+'Socio 4'!Q15+'Socio 5'!H14+'Socio 6'!H14+'Socio 7'!Q15+'Socio 8'!H14+'Socio 9'!Q15+'Socio 10'!Q15</f>
        <v>455.18036808000005</v>
      </c>
      <c r="F11" s="60">
        <f t="shared" si="0"/>
        <v>3808.8989972100003</v>
      </c>
      <c r="G11" s="61">
        <f>F11/'Datos generales'!$B$2</f>
        <v>0.19044494986050001</v>
      </c>
    </row>
    <row r="12" spans="1:10">
      <c r="A12" s="64" t="s">
        <v>94</v>
      </c>
      <c r="B12" s="24">
        <f>'Reparto economico'!L12</f>
        <v>2600</v>
      </c>
      <c r="C12" s="59">
        <f>'Socio 1'!B15+SUM('Socio 2'!B16:D16)+'Socio 3'!B15+SUM('Socio 4'!B16:D16)+'Socio 5'!B15+'Socio 6'!B15+SUM('Socio 7'!B16:D16)+'Socio 8'!B15+SUM('Socio 9'!B16:D16)+SUM('Socio 10'!B16:D16)</f>
        <v>3537.7500000000005</v>
      </c>
      <c r="D12" s="59">
        <f>'Socio 1'!G15+'Socio 2'!K16+'Socio 3'!G15+'Socio 4'!K16+'Socio 5'!G15+'Socio 6'!G15+'Socio 7'!K16+'Socio 8'!G15+'Socio 9'!K16+'Socio 10'!K16</f>
        <v>2575.35</v>
      </c>
      <c r="E12" s="60">
        <f>'Socio 1'!H15+'Socio 2'!Q16+'Socio 3'!H15+'Socio 4'!Q16+'Socio 5'!H15+'Socio 6'!H15+'Socio 7'!Q16+'Socio 8'!H15+'Socio 9'!Q16+'Socio 10'!Q16</f>
        <v>364.07165000000003</v>
      </c>
      <c r="F12" s="60">
        <f t="shared" si="0"/>
        <v>4172.9706472100006</v>
      </c>
      <c r="G12" s="61">
        <f>F12/'Datos generales'!$B$2</f>
        <v>0.20864853236050004</v>
      </c>
    </row>
    <row r="13" spans="1:10">
      <c r="A13" s="64" t="s">
        <v>95</v>
      </c>
      <c r="B13" s="24">
        <f>'Reparto economico'!L13</f>
        <v>1800</v>
      </c>
      <c r="C13" s="59">
        <f>'Socio 1'!B16+SUM('Socio 2'!B17:D17)+'Socio 3'!B16+SUM('Socio 4'!B17:D17)+'Socio 5'!B16+'Socio 6'!B16+SUM('Socio 7'!B17:D17)+'Socio 8'!B16+SUM('Socio 9'!B17:D17)+SUM('Socio 10'!B17:D17)</f>
        <v>3488.1899999999996</v>
      </c>
      <c r="D13" s="59">
        <f>'Socio 1'!G16+'Socio 2'!K17+'Socio 3'!G16+'Socio 4'!K17+'Socio 5'!G16+'Socio 6'!G16+'Socio 7'!K17+'Socio 8'!G16+'Socio 9'!K17+'Socio 10'!K17</f>
        <v>1785</v>
      </c>
      <c r="E13" s="60">
        <f>'Socio 1'!H16+'Socio 2'!Q17+'Socio 3'!H16+'Socio 4'!Q17+'Socio 5'!H16+'Socio 6'!H16+'Socio 7'!Q17+'Socio 8'!H16+'Socio 9'!Q17+'Socio 10'!Q17</f>
        <v>236.40169</v>
      </c>
      <c r="F13" s="60">
        <f t="shared" si="0"/>
        <v>4409.3723372100003</v>
      </c>
      <c r="G13" s="61">
        <f>F13/'Datos generales'!$B$2</f>
        <v>0.22046861686050001</v>
      </c>
    </row>
    <row r="14" spans="1:10">
      <c r="A14" s="64" t="s">
        <v>96</v>
      </c>
      <c r="B14" s="24">
        <f>'Reparto economico'!L14</f>
        <v>1400</v>
      </c>
      <c r="C14" s="59">
        <f>'Socio 1'!B17+SUM('Socio 2'!B18:D18)+'Socio 3'!B17+SUM('Socio 4'!B18:D18)+'Socio 5'!B17+'Socio 6'!B17+SUM('Socio 7'!B18:D18)+'Socio 8'!B17+SUM('Socio 9'!B18:D18)+SUM('Socio 10'!B18:D18)</f>
        <v>3502.6299999999997</v>
      </c>
      <c r="D14" s="59">
        <f>'Socio 1'!G17+'Socio 2'!K18+'Socio 3'!G17+'Socio 4'!K18+'Socio 5'!G17+'Socio 6'!G17+'Socio 7'!K18+'Socio 8'!G17+'Socio 9'!K18+'Socio 10'!K18</f>
        <v>1388</v>
      </c>
      <c r="E14" s="60">
        <f>'Socio 1'!H17+'Socio 2'!Q18+'Socio 3'!H17+'Socio 4'!Q18+'Socio 5'!H17+'Socio 6'!H17+'Socio 7'!Q18+'Socio 8'!H17+'Socio 9'!Q18+'Socio 10'!Q18</f>
        <v>162.79429999999996</v>
      </c>
      <c r="F14" s="60">
        <f t="shared" si="0"/>
        <v>4572.1666372099999</v>
      </c>
      <c r="G14" s="61">
        <f>F14/'Datos generales'!$B$2</f>
        <v>0.2286083318605</v>
      </c>
    </row>
    <row r="15" spans="1:10">
      <c r="A15" s="44" t="s">
        <v>8</v>
      </c>
      <c r="B15" s="65">
        <f t="shared" ref="B15:E15" si="1">SUM(B3:B14)</f>
        <v>33600</v>
      </c>
      <c r="C15" s="66">
        <f t="shared" si="1"/>
        <v>41476.29</v>
      </c>
      <c r="D15" s="66">
        <f t="shared" si="1"/>
        <v>30774.309999999998</v>
      </c>
      <c r="E15" s="67">
        <f t="shared" si="1"/>
        <v>4572.1666372099999</v>
      </c>
      <c r="F15" s="67">
        <f>F14</f>
        <v>4572.1666372099999</v>
      </c>
      <c r="G15" s="68">
        <f>F15/'Datos generales'!$B$2</f>
        <v>0.2286083318605</v>
      </c>
    </row>
    <row r="17" spans="1:5" ht="15" customHeight="1">
      <c r="A17" s="1" t="s">
        <v>39</v>
      </c>
      <c r="B17" s="1" t="s">
        <v>97</v>
      </c>
      <c r="D17" s="57" t="s">
        <v>98</v>
      </c>
      <c r="E17" s="58">
        <v>5.0000000000000001E-3</v>
      </c>
    </row>
    <row r="18" spans="1:5">
      <c r="A18" s="64">
        <v>1</v>
      </c>
      <c r="B18" s="69">
        <f>E15</f>
        <v>4572.1666372099999</v>
      </c>
      <c r="D18" s="62" t="s">
        <v>99</v>
      </c>
      <c r="E18" s="70">
        <v>0.02</v>
      </c>
    </row>
    <row r="19" spans="1:5">
      <c r="A19" s="64">
        <v>2</v>
      </c>
      <c r="B19" s="69">
        <f t="shared" ref="B19:B42" si="2">$B$18*((1-$E$17)^(A19-1))*((1+$E$18)^(A19-1))</f>
        <v>4640.2919201044297</v>
      </c>
    </row>
    <row r="20" spans="1:5">
      <c r="A20" s="64">
        <v>3</v>
      </c>
      <c r="B20" s="69">
        <f t="shared" si="2"/>
        <v>4709.4322697139851</v>
      </c>
    </row>
    <row r="21" spans="1:5">
      <c r="A21" s="64">
        <v>4</v>
      </c>
      <c r="B21" s="69">
        <f t="shared" si="2"/>
        <v>4779.6028105327232</v>
      </c>
    </row>
    <row r="22" spans="1:5">
      <c r="A22" s="64">
        <v>5</v>
      </c>
      <c r="B22" s="69">
        <f t="shared" si="2"/>
        <v>4850.8188924096612</v>
      </c>
    </row>
    <row r="23" spans="1:5">
      <c r="A23" s="64">
        <v>6</v>
      </c>
      <c r="B23" s="69">
        <f t="shared" si="2"/>
        <v>4923.0960939065653</v>
      </c>
    </row>
    <row r="24" spans="1:5">
      <c r="A24" s="64">
        <v>7</v>
      </c>
      <c r="B24" s="69">
        <f t="shared" si="2"/>
        <v>4996.4502257057729</v>
      </c>
    </row>
    <row r="25" spans="1:5">
      <c r="A25" s="64">
        <v>8</v>
      </c>
      <c r="B25" s="69">
        <f t="shared" si="2"/>
        <v>5070.897334068788</v>
      </c>
    </row>
    <row r="26" spans="1:5">
      <c r="A26" s="64">
        <v>9</v>
      </c>
      <c r="B26" s="69">
        <f t="shared" si="2"/>
        <v>5146.4537043464134</v>
      </c>
    </row>
    <row r="27" spans="1:5">
      <c r="A27" s="64">
        <v>10</v>
      </c>
      <c r="B27" s="69">
        <f t="shared" si="2"/>
        <v>5223.1358645411756</v>
      </c>
    </row>
    <row r="28" spans="1:5">
      <c r="A28" s="64">
        <v>11</v>
      </c>
      <c r="B28" s="69">
        <f t="shared" si="2"/>
        <v>5300.9605889228396</v>
      </c>
    </row>
    <row r="29" spans="1:5">
      <c r="A29" s="64">
        <v>12</v>
      </c>
      <c r="B29" s="69">
        <f t="shared" si="2"/>
        <v>5379.9449016977878</v>
      </c>
    </row>
    <row r="30" spans="1:5">
      <c r="A30" s="64">
        <v>13</v>
      </c>
      <c r="B30" s="69">
        <f t="shared" si="2"/>
        <v>5460.1060807330859</v>
      </c>
    </row>
    <row r="31" spans="1:5">
      <c r="A31" s="64">
        <v>14</v>
      </c>
      <c r="B31" s="69">
        <f t="shared" si="2"/>
        <v>5541.4616613360095</v>
      </c>
    </row>
    <row r="32" spans="1:5">
      <c r="A32" s="64">
        <v>15</v>
      </c>
      <c r="B32" s="69">
        <f t="shared" si="2"/>
        <v>5624.0294400899165</v>
      </c>
    </row>
    <row r="33" spans="1:2">
      <c r="A33" s="64">
        <v>16</v>
      </c>
      <c r="B33" s="69">
        <f t="shared" si="2"/>
        <v>5707.8274787472537</v>
      </c>
    </row>
    <row r="34" spans="1:2">
      <c r="A34" s="64">
        <v>17</v>
      </c>
      <c r="B34" s="69">
        <f t="shared" si="2"/>
        <v>5792.8741081805892</v>
      </c>
    </row>
    <row r="35" spans="1:2">
      <c r="A35" s="64">
        <v>18</v>
      </c>
      <c r="B35" s="69">
        <f t="shared" si="2"/>
        <v>5879.1879323924813</v>
      </c>
    </row>
    <row r="36" spans="1:2">
      <c r="A36" s="64">
        <v>19</v>
      </c>
      <c r="B36" s="69">
        <f t="shared" si="2"/>
        <v>5966.7878325851279</v>
      </c>
    </row>
    <row r="37" spans="1:2">
      <c r="A37" s="64">
        <v>20</v>
      </c>
      <c r="B37" s="69">
        <f t="shared" si="2"/>
        <v>6055.6929712906458</v>
      </c>
    </row>
    <row r="38" spans="1:2">
      <c r="A38" s="64">
        <v>21</v>
      </c>
      <c r="B38" s="69">
        <f t="shared" si="2"/>
        <v>6145.922796562877</v>
      </c>
    </row>
    <row r="39" spans="1:2">
      <c r="A39" s="64">
        <v>22</v>
      </c>
      <c r="B39" s="69">
        <f t="shared" si="2"/>
        <v>6237.4970462316642</v>
      </c>
    </row>
    <row r="40" spans="1:2">
      <c r="A40" s="64">
        <v>23</v>
      </c>
      <c r="B40" s="69">
        <f t="shared" si="2"/>
        <v>6330.4357522205164</v>
      </c>
    </row>
    <row r="41" spans="1:2">
      <c r="A41" s="64">
        <v>24</v>
      </c>
      <c r="B41" s="69">
        <f t="shared" si="2"/>
        <v>6424.7592449286003</v>
      </c>
    </row>
    <row r="42" spans="1:2">
      <c r="A42" s="71">
        <v>25</v>
      </c>
      <c r="B42" s="72">
        <f t="shared" si="2"/>
        <v>6520.4881576780372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11" width="8.7109375" customWidth="1"/>
  </cols>
  <sheetData>
    <row r="1" spans="1:10">
      <c r="A1" s="73" t="s">
        <v>20</v>
      </c>
      <c r="B1" s="74" t="s">
        <v>21</v>
      </c>
      <c r="C1" s="74" t="s">
        <v>22</v>
      </c>
      <c r="D1" s="74" t="s">
        <v>100</v>
      </c>
      <c r="E1" s="75" t="s">
        <v>24</v>
      </c>
    </row>
    <row r="2" spans="1:10">
      <c r="A2" s="76">
        <f>Socios!A2</f>
        <v>1</v>
      </c>
      <c r="B2" s="76" t="str">
        <f>Socios!B2</f>
        <v>Javier</v>
      </c>
      <c r="C2" s="76">
        <f>Socios!C2</f>
        <v>10</v>
      </c>
      <c r="D2" s="76">
        <f>Socios!D2</f>
        <v>2000</v>
      </c>
      <c r="E2" s="77">
        <f>Socios!E2</f>
        <v>8</v>
      </c>
    </row>
    <row r="3" spans="1:10">
      <c r="A3" s="78"/>
      <c r="B3" s="78"/>
      <c r="C3" s="78"/>
      <c r="D3" s="78"/>
      <c r="E3" s="78"/>
    </row>
    <row r="4" spans="1:10">
      <c r="B4" s="198" t="s">
        <v>101</v>
      </c>
      <c r="C4" s="180"/>
      <c r="D4" s="180"/>
      <c r="E4" s="181"/>
    </row>
    <row r="5" spans="1:10">
      <c r="A5" s="73" t="s">
        <v>43</v>
      </c>
      <c r="B5" s="74" t="s">
        <v>102</v>
      </c>
      <c r="C5" s="74" t="s">
        <v>103</v>
      </c>
      <c r="D5" s="74" t="s">
        <v>104</v>
      </c>
      <c r="E5" s="74" t="s">
        <v>105</v>
      </c>
      <c r="F5" s="74" t="s">
        <v>77</v>
      </c>
      <c r="G5" s="74" t="s">
        <v>79</v>
      </c>
      <c r="H5" s="74" t="s">
        <v>80</v>
      </c>
      <c r="I5" s="74" t="s">
        <v>106</v>
      </c>
      <c r="J5" s="75" t="s">
        <v>82</v>
      </c>
    </row>
    <row r="6" spans="1:10">
      <c r="A6" s="79" t="s">
        <v>53</v>
      </c>
      <c r="B6" s="80">
        <v>331.17</v>
      </c>
      <c r="C6" s="80">
        <v>10</v>
      </c>
      <c r="D6" s="81">
        <v>0.1777</v>
      </c>
      <c r="E6" s="81">
        <v>7.8200000000000006E-2</v>
      </c>
      <c r="F6" s="82">
        <f>'Reparto economico'!L3*$C$2/100</f>
        <v>160</v>
      </c>
      <c r="G6" s="83">
        <f t="shared" ref="G6:G17" si="0">F6-C6</f>
        <v>150</v>
      </c>
      <c r="H6" s="84">
        <f t="shared" ref="H6:H17" si="1">(G6*D6+C6*E6)-$E$2</f>
        <v>19.437000000000001</v>
      </c>
      <c r="I6" s="84">
        <f>H6</f>
        <v>19.437000000000001</v>
      </c>
      <c r="J6" s="85">
        <f t="shared" ref="J6:J17" si="2">I6/$D$2</f>
        <v>9.7185000000000014E-3</v>
      </c>
    </row>
    <row r="7" spans="1:10">
      <c r="A7" s="86" t="s">
        <v>55</v>
      </c>
      <c r="B7" s="87">
        <v>202.09</v>
      </c>
      <c r="C7" s="87">
        <v>20</v>
      </c>
      <c r="D7" s="88">
        <v>0.1565</v>
      </c>
      <c r="E7" s="88">
        <v>5.1799999999999999E-2</v>
      </c>
      <c r="F7" s="24">
        <f>'Reparto economico'!L4*$C$2/100</f>
        <v>200</v>
      </c>
      <c r="G7" s="59">
        <f t="shared" si="0"/>
        <v>180</v>
      </c>
      <c r="H7" s="60">
        <f t="shared" si="1"/>
        <v>21.206000000000003</v>
      </c>
      <c r="I7" s="60">
        <f t="shared" ref="I7:I17" si="3">H7+I6</f>
        <v>40.643000000000001</v>
      </c>
      <c r="J7" s="89">
        <f t="shared" si="2"/>
        <v>2.0321499999999999E-2</v>
      </c>
    </row>
    <row r="8" spans="1:10">
      <c r="A8" s="86" t="s">
        <v>56</v>
      </c>
      <c r="B8" s="87">
        <v>302.11</v>
      </c>
      <c r="C8" s="87">
        <v>15</v>
      </c>
      <c r="D8" s="88">
        <v>0.19739999999999999</v>
      </c>
      <c r="E8" s="88">
        <v>5.11E-2</v>
      </c>
      <c r="F8" s="24">
        <f>'Reparto economico'!L5*$C$2/100</f>
        <v>280</v>
      </c>
      <c r="G8" s="59">
        <f t="shared" si="0"/>
        <v>265</v>
      </c>
      <c r="H8" s="60">
        <f t="shared" si="1"/>
        <v>45.077500000000001</v>
      </c>
      <c r="I8" s="60">
        <f t="shared" si="3"/>
        <v>85.720500000000001</v>
      </c>
      <c r="J8" s="89">
        <f t="shared" si="2"/>
        <v>4.2860250000000003E-2</v>
      </c>
    </row>
    <row r="9" spans="1:10">
      <c r="A9" s="86" t="s">
        <v>57</v>
      </c>
      <c r="B9" s="87">
        <v>236.44</v>
      </c>
      <c r="C9" s="87">
        <v>83.56</v>
      </c>
      <c r="D9" s="88">
        <v>0.15679999999999999</v>
      </c>
      <c r="E9" s="88">
        <v>7.4200000000000002E-2</v>
      </c>
      <c r="F9" s="24">
        <f>'Reparto economico'!L6*$C$2/100</f>
        <v>320</v>
      </c>
      <c r="G9" s="59">
        <f t="shared" si="0"/>
        <v>236.44</v>
      </c>
      <c r="H9" s="60">
        <f t="shared" si="1"/>
        <v>35.273944</v>
      </c>
      <c r="I9" s="60">
        <f t="shared" si="3"/>
        <v>120.994444</v>
      </c>
      <c r="J9" s="89">
        <f t="shared" si="2"/>
        <v>6.0497222000000003E-2</v>
      </c>
    </row>
    <row r="10" spans="1:10">
      <c r="A10" s="90" t="s">
        <v>58</v>
      </c>
      <c r="B10" s="87">
        <v>266.81</v>
      </c>
      <c r="C10" s="87">
        <v>93.19</v>
      </c>
      <c r="D10" s="88">
        <v>0.17269999999999999</v>
      </c>
      <c r="E10" s="88">
        <v>6.5600000000000006E-2</v>
      </c>
      <c r="F10" s="24">
        <f>'Reparto economico'!L7*$C$2/100</f>
        <v>360</v>
      </c>
      <c r="G10" s="59">
        <f t="shared" si="0"/>
        <v>266.81</v>
      </c>
      <c r="H10" s="60">
        <f t="shared" si="1"/>
        <v>44.191350999999997</v>
      </c>
      <c r="I10" s="60">
        <f t="shared" si="3"/>
        <v>165.18579499999998</v>
      </c>
      <c r="J10" s="89">
        <f t="shared" si="2"/>
        <v>8.2592897499999998E-2</v>
      </c>
    </row>
    <row r="11" spans="1:10">
      <c r="A11" s="90" t="s">
        <v>59</v>
      </c>
      <c r="B11" s="87">
        <v>384.29</v>
      </c>
      <c r="C11" s="87">
        <v>100</v>
      </c>
      <c r="D11" s="88">
        <v>0.17080000000000001</v>
      </c>
      <c r="E11" s="88">
        <v>4.4200000000000003E-2</v>
      </c>
      <c r="F11" s="24">
        <f>'Reparto economico'!L8*$C$2/100</f>
        <v>360</v>
      </c>
      <c r="G11" s="59">
        <f t="shared" si="0"/>
        <v>260</v>
      </c>
      <c r="H11" s="60">
        <f t="shared" si="1"/>
        <v>40.828000000000003</v>
      </c>
      <c r="I11" s="60">
        <f t="shared" si="3"/>
        <v>206.01379499999999</v>
      </c>
      <c r="J11" s="89">
        <f t="shared" si="2"/>
        <v>0.1030068975</v>
      </c>
    </row>
    <row r="12" spans="1:10">
      <c r="A12" s="90" t="s">
        <v>60</v>
      </c>
      <c r="B12" s="87">
        <v>254.13</v>
      </c>
      <c r="C12" s="87">
        <v>145.87</v>
      </c>
      <c r="D12" s="88">
        <v>0.1648</v>
      </c>
      <c r="E12" s="88">
        <v>4.2999999999999997E-2</v>
      </c>
      <c r="F12" s="24">
        <f>'Reparto economico'!L9*$C$2/100</f>
        <v>400</v>
      </c>
      <c r="G12" s="59">
        <f t="shared" si="0"/>
        <v>254.13</v>
      </c>
      <c r="H12" s="60">
        <f t="shared" si="1"/>
        <v>40.153033999999998</v>
      </c>
      <c r="I12" s="60">
        <f t="shared" si="3"/>
        <v>246.16682899999998</v>
      </c>
      <c r="J12" s="89">
        <f t="shared" si="2"/>
        <v>0.12308341449999999</v>
      </c>
    </row>
    <row r="13" spans="1:10">
      <c r="A13" s="90" t="s">
        <v>62</v>
      </c>
      <c r="B13" s="87">
        <v>250.62</v>
      </c>
      <c r="C13" s="87">
        <v>129.38</v>
      </c>
      <c r="D13" s="88">
        <v>0.1918</v>
      </c>
      <c r="E13" s="88">
        <v>4.5100000000000001E-2</v>
      </c>
      <c r="F13" s="24">
        <f>'Reparto economico'!L10*$C$2/100</f>
        <v>380</v>
      </c>
      <c r="G13" s="59">
        <f t="shared" si="0"/>
        <v>250.62</v>
      </c>
      <c r="H13" s="60">
        <f t="shared" si="1"/>
        <v>45.903953999999999</v>
      </c>
      <c r="I13" s="60">
        <f t="shared" si="3"/>
        <v>292.07078300000001</v>
      </c>
      <c r="J13" s="89">
        <f t="shared" si="2"/>
        <v>0.1460353915</v>
      </c>
    </row>
    <row r="14" spans="1:10">
      <c r="A14" s="90" t="s">
        <v>63</v>
      </c>
      <c r="B14" s="87">
        <v>343.95</v>
      </c>
      <c r="C14" s="87">
        <v>50</v>
      </c>
      <c r="D14" s="88">
        <v>0.16600000000000001</v>
      </c>
      <c r="E14" s="88">
        <v>5.57E-2</v>
      </c>
      <c r="F14" s="24">
        <f>'Reparto economico'!L11*$C$2/100</f>
        <v>320</v>
      </c>
      <c r="G14" s="59">
        <f t="shared" si="0"/>
        <v>270</v>
      </c>
      <c r="H14" s="60">
        <f t="shared" si="1"/>
        <v>39.605000000000004</v>
      </c>
      <c r="I14" s="60">
        <f t="shared" si="3"/>
        <v>331.67578300000002</v>
      </c>
      <c r="J14" s="89">
        <f t="shared" si="2"/>
        <v>0.1658378915</v>
      </c>
    </row>
    <row r="15" spans="1:10">
      <c r="A15" s="90" t="s">
        <v>64</v>
      </c>
      <c r="B15" s="87">
        <v>235.35</v>
      </c>
      <c r="C15" s="87">
        <v>24.65</v>
      </c>
      <c r="D15" s="88">
        <v>0.18360000000000001</v>
      </c>
      <c r="E15" s="88">
        <v>4.9000000000000002E-2</v>
      </c>
      <c r="F15" s="24">
        <f>'Reparto economico'!L12*$C$2/100</f>
        <v>260</v>
      </c>
      <c r="G15" s="59">
        <f t="shared" si="0"/>
        <v>235.35</v>
      </c>
      <c r="H15" s="60">
        <f t="shared" si="1"/>
        <v>36.418110000000006</v>
      </c>
      <c r="I15" s="60">
        <f t="shared" si="3"/>
        <v>368.09389300000004</v>
      </c>
      <c r="J15" s="89">
        <f t="shared" si="2"/>
        <v>0.18404694650000003</v>
      </c>
    </row>
    <row r="16" spans="1:10">
      <c r="A16" s="90" t="s">
        <v>65</v>
      </c>
      <c r="B16" s="87">
        <v>360.67</v>
      </c>
      <c r="C16" s="87">
        <v>15</v>
      </c>
      <c r="D16" s="88">
        <v>0.1646</v>
      </c>
      <c r="E16" s="88">
        <v>7.6600000000000001E-2</v>
      </c>
      <c r="F16" s="24">
        <f>'Reparto economico'!L13*$C$2/100</f>
        <v>180</v>
      </c>
      <c r="G16" s="59">
        <f t="shared" si="0"/>
        <v>165</v>
      </c>
      <c r="H16" s="60">
        <f t="shared" si="1"/>
        <v>20.308</v>
      </c>
      <c r="I16" s="60">
        <f t="shared" si="3"/>
        <v>388.40189300000003</v>
      </c>
      <c r="J16" s="89">
        <f t="shared" si="2"/>
        <v>0.19420094650000003</v>
      </c>
    </row>
    <row r="17" spans="1:10">
      <c r="A17" s="90" t="s">
        <v>66</v>
      </c>
      <c r="B17" s="87">
        <v>296.19</v>
      </c>
      <c r="C17" s="87">
        <v>12</v>
      </c>
      <c r="D17" s="88">
        <v>0.1895</v>
      </c>
      <c r="E17" s="88">
        <v>6.9099999999999995E-2</v>
      </c>
      <c r="F17" s="24">
        <f>'Reparto economico'!L14*$C$2/100</f>
        <v>140</v>
      </c>
      <c r="G17" s="59">
        <f t="shared" si="0"/>
        <v>128</v>
      </c>
      <c r="H17" s="60">
        <f t="shared" si="1"/>
        <v>17.0852</v>
      </c>
      <c r="I17" s="60">
        <f t="shared" si="3"/>
        <v>405.48709300000002</v>
      </c>
      <c r="J17" s="89">
        <f t="shared" si="2"/>
        <v>0.20274354650000001</v>
      </c>
    </row>
    <row r="18" spans="1:10">
      <c r="A18" s="91" t="s">
        <v>8</v>
      </c>
      <c r="B18" s="66">
        <f t="shared" ref="B18:C18" si="4">SUM(B2:B17)</f>
        <v>3463.8199999999997</v>
      </c>
      <c r="C18" s="66">
        <f t="shared" si="4"/>
        <v>708.65</v>
      </c>
      <c r="D18" s="65" t="s">
        <v>107</v>
      </c>
      <c r="E18" s="65" t="s">
        <v>107</v>
      </c>
      <c r="F18" s="66">
        <f t="shared" ref="F18:I18" si="5">SUM(F2:F17)</f>
        <v>3360</v>
      </c>
      <c r="G18" s="66">
        <f t="shared" si="5"/>
        <v>2661.35</v>
      </c>
      <c r="H18" s="66">
        <f t="shared" si="5"/>
        <v>405.48709300000002</v>
      </c>
      <c r="I18" s="66">
        <f t="shared" si="5"/>
        <v>2669.8908080000001</v>
      </c>
      <c r="J18" s="92">
        <f>J17</f>
        <v>0.20274354650000001</v>
      </c>
    </row>
  </sheetData>
  <mergeCells count="1">
    <mergeCell ref="B4:E4"/>
  </mergeCells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8.42578125" customWidth="1"/>
    <col min="7" max="7" width="7" customWidth="1"/>
    <col min="8" max="8" width="6.1406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20" width="8.7109375" customWidth="1"/>
  </cols>
  <sheetData>
    <row r="1" spans="1:20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27"/>
      <c r="G1" s="27"/>
      <c r="H1" s="27"/>
      <c r="I1" s="27"/>
    </row>
    <row r="2" spans="1:20">
      <c r="A2" s="76">
        <f>Socios!A3</f>
        <v>2</v>
      </c>
      <c r="B2" s="76" t="str">
        <f>Socios!B3</f>
        <v>Antonio</v>
      </c>
      <c r="C2" s="76">
        <f>Socios!C3</f>
        <v>15</v>
      </c>
      <c r="D2" s="76">
        <f>Socios!D3</f>
        <v>3000</v>
      </c>
      <c r="E2" s="77">
        <f>Socios!E3</f>
        <v>12</v>
      </c>
      <c r="F2" s="27"/>
      <c r="G2" s="27"/>
      <c r="H2" s="27"/>
      <c r="I2" s="27"/>
    </row>
    <row r="3" spans="1:20">
      <c r="A3" s="78"/>
      <c r="B3" s="96"/>
      <c r="C3" s="96"/>
      <c r="D3" s="78"/>
      <c r="E3" s="78"/>
      <c r="F3" s="27"/>
      <c r="G3" s="27"/>
      <c r="H3" s="27"/>
      <c r="I3" s="27"/>
    </row>
    <row r="4" spans="1:20">
      <c r="B4" s="198" t="s">
        <v>101</v>
      </c>
      <c r="C4" s="180"/>
      <c r="D4" s="180"/>
      <c r="E4" s="180"/>
      <c r="F4" s="180"/>
      <c r="G4" s="180"/>
      <c r="H4" s="180"/>
      <c r="I4" s="181"/>
    </row>
    <row r="5" spans="1:20">
      <c r="A5" s="93" t="s">
        <v>43</v>
      </c>
      <c r="B5" s="199" t="s">
        <v>102</v>
      </c>
      <c r="C5" s="200"/>
      <c r="D5" s="200"/>
      <c r="E5" s="201" t="s">
        <v>103</v>
      </c>
      <c r="F5" s="199" t="s">
        <v>104</v>
      </c>
      <c r="G5" s="200"/>
      <c r="H5" s="200"/>
      <c r="I5" s="201" t="s">
        <v>105</v>
      </c>
      <c r="J5" s="94" t="s">
        <v>77</v>
      </c>
      <c r="K5" s="199" t="s">
        <v>79</v>
      </c>
      <c r="L5" s="200"/>
      <c r="M5" s="200"/>
      <c r="N5" s="203"/>
      <c r="O5" s="97" t="s">
        <v>108</v>
      </c>
      <c r="P5" s="94" t="s">
        <v>109</v>
      </c>
      <c r="Q5" s="94" t="s">
        <v>80</v>
      </c>
      <c r="R5" s="94" t="s">
        <v>106</v>
      </c>
      <c r="S5" s="95" t="s">
        <v>82</v>
      </c>
      <c r="T5" s="31"/>
    </row>
    <row r="6" spans="1:20">
      <c r="A6" s="5"/>
      <c r="B6" s="6" t="s">
        <v>110</v>
      </c>
      <c r="C6" s="6" t="s">
        <v>111</v>
      </c>
      <c r="D6" s="6" t="s">
        <v>112</v>
      </c>
      <c r="E6" s="202"/>
      <c r="F6" s="6" t="s">
        <v>110</v>
      </c>
      <c r="G6" s="6" t="s">
        <v>111</v>
      </c>
      <c r="H6" s="6" t="s">
        <v>112</v>
      </c>
      <c r="I6" s="202"/>
      <c r="J6" s="6" t="s">
        <v>113</v>
      </c>
      <c r="K6" s="6" t="s">
        <v>113</v>
      </c>
      <c r="L6" s="6" t="s">
        <v>110</v>
      </c>
      <c r="M6" s="6" t="s">
        <v>111</v>
      </c>
      <c r="N6" s="6" t="s">
        <v>112</v>
      </c>
      <c r="O6" s="98"/>
      <c r="P6" s="6"/>
      <c r="Q6" s="6"/>
      <c r="R6" s="6"/>
      <c r="S6" s="7"/>
      <c r="T6" s="31"/>
    </row>
    <row r="7" spans="1:20">
      <c r="A7" s="79" t="s">
        <v>53</v>
      </c>
      <c r="B7" s="80">
        <v>204.54</v>
      </c>
      <c r="C7" s="80">
        <v>284.85000000000002</v>
      </c>
      <c r="D7" s="80">
        <v>236.93</v>
      </c>
      <c r="E7" s="80">
        <v>0</v>
      </c>
      <c r="F7" s="81">
        <v>0.18</v>
      </c>
      <c r="G7" s="81">
        <v>0.1575</v>
      </c>
      <c r="H7" s="81">
        <v>0.1699</v>
      </c>
      <c r="I7" s="81">
        <v>5.2400000000000002E-2</v>
      </c>
      <c r="J7" s="82">
        <f>'Reparto economico'!L3*$C$2/100</f>
        <v>240</v>
      </c>
      <c r="K7" s="83">
        <f t="shared" ref="K7:K18" si="0">J7-E7</f>
        <v>240</v>
      </c>
      <c r="L7" s="99">
        <f t="shared" ref="L7:L18" si="1">K7*0.29</f>
        <v>69.599999999999994</v>
      </c>
      <c r="M7" s="82">
        <f t="shared" ref="M7:M18" si="2">K7*0.44</f>
        <v>105.6</v>
      </c>
      <c r="N7" s="99">
        <f t="shared" ref="N7:N18" si="3">K7*0.27</f>
        <v>64.800000000000011</v>
      </c>
      <c r="O7" s="84">
        <f t="shared" ref="O7:O18" si="4">L7*F7+M7*G7+N7*H7</f>
        <v>40.169519999999999</v>
      </c>
      <c r="P7" s="84">
        <f t="shared" ref="P7:P18" si="5">E7*I7</f>
        <v>0</v>
      </c>
      <c r="Q7" s="84">
        <f t="shared" ref="Q7:Q18" si="6">O7+P7-$E$2</f>
        <v>28.169519999999999</v>
      </c>
      <c r="R7" s="84">
        <f>Q7</f>
        <v>28.169519999999999</v>
      </c>
      <c r="S7" s="100">
        <f t="shared" ref="S7:S18" si="7">R7/$D$2</f>
        <v>9.38984E-3</v>
      </c>
      <c r="T7" s="31"/>
    </row>
    <row r="8" spans="1:20">
      <c r="A8" s="86" t="s">
        <v>55</v>
      </c>
      <c r="B8" s="87">
        <v>159.12</v>
      </c>
      <c r="C8" s="87">
        <v>174.19</v>
      </c>
      <c r="D8" s="87">
        <v>236.72</v>
      </c>
      <c r="E8" s="87">
        <v>0</v>
      </c>
      <c r="F8" s="88">
        <v>0.19539999999999999</v>
      </c>
      <c r="G8" s="88">
        <v>0.18090000000000001</v>
      </c>
      <c r="H8" s="88">
        <v>0.19059999999999999</v>
      </c>
      <c r="I8" s="88">
        <v>7.0000000000000007E-2</v>
      </c>
      <c r="J8" s="24">
        <f>'Reparto economico'!L4*$C$2/100</f>
        <v>300</v>
      </c>
      <c r="K8" s="59">
        <f t="shared" si="0"/>
        <v>300</v>
      </c>
      <c r="L8" s="101">
        <f t="shared" si="1"/>
        <v>87</v>
      </c>
      <c r="M8" s="24">
        <f t="shared" si="2"/>
        <v>132</v>
      </c>
      <c r="N8" s="101">
        <f t="shared" si="3"/>
        <v>81</v>
      </c>
      <c r="O8" s="60">
        <f t="shared" si="4"/>
        <v>56.317200000000007</v>
      </c>
      <c r="P8" s="60">
        <f t="shared" si="5"/>
        <v>0</v>
      </c>
      <c r="Q8" s="60">
        <f t="shared" si="6"/>
        <v>44.317200000000007</v>
      </c>
      <c r="R8" s="60">
        <f t="shared" ref="R8:R18" si="8">Q8+R7</f>
        <v>72.486720000000005</v>
      </c>
      <c r="S8" s="61">
        <f t="shared" si="7"/>
        <v>2.4162240000000001E-2</v>
      </c>
      <c r="T8" s="31"/>
    </row>
    <row r="9" spans="1:20">
      <c r="A9" s="86" t="s">
        <v>56</v>
      </c>
      <c r="B9" s="87">
        <v>226.56</v>
      </c>
      <c r="C9" s="87">
        <v>281.26</v>
      </c>
      <c r="D9" s="87">
        <v>186.7</v>
      </c>
      <c r="E9" s="87">
        <v>0</v>
      </c>
      <c r="F9" s="88">
        <v>0.17549999999999999</v>
      </c>
      <c r="G9" s="88">
        <v>0.19869999999999999</v>
      </c>
      <c r="H9" s="88">
        <v>0.16819999999999999</v>
      </c>
      <c r="I9" s="88">
        <v>5.96E-2</v>
      </c>
      <c r="J9" s="24">
        <f>'Reparto economico'!L5*$C$2/100</f>
        <v>420</v>
      </c>
      <c r="K9" s="59">
        <f t="shared" si="0"/>
        <v>420</v>
      </c>
      <c r="L9" s="101">
        <f t="shared" si="1"/>
        <v>121.8</v>
      </c>
      <c r="M9" s="24">
        <f t="shared" si="2"/>
        <v>184.8</v>
      </c>
      <c r="N9" s="101">
        <f t="shared" si="3"/>
        <v>113.4</v>
      </c>
      <c r="O9" s="60">
        <f t="shared" si="4"/>
        <v>77.169539999999998</v>
      </c>
      <c r="P9" s="60">
        <f t="shared" si="5"/>
        <v>0</v>
      </c>
      <c r="Q9" s="60">
        <f t="shared" si="6"/>
        <v>65.169539999999998</v>
      </c>
      <c r="R9" s="60">
        <f t="shared" si="8"/>
        <v>137.65626</v>
      </c>
      <c r="S9" s="61">
        <f t="shared" si="7"/>
        <v>4.5885420000000003E-2</v>
      </c>
      <c r="T9" s="31"/>
    </row>
    <row r="10" spans="1:20">
      <c r="A10" s="86" t="s">
        <v>57</v>
      </c>
      <c r="B10" s="87">
        <v>146.82</v>
      </c>
      <c r="C10" s="87">
        <v>247.88</v>
      </c>
      <c r="D10" s="87">
        <v>206.1</v>
      </c>
      <c r="E10" s="87">
        <v>0</v>
      </c>
      <c r="F10" s="88">
        <v>0.18149999999999999</v>
      </c>
      <c r="G10" s="88">
        <v>0.1946</v>
      </c>
      <c r="H10" s="88">
        <v>0.1726</v>
      </c>
      <c r="I10" s="88">
        <v>7.1800000000000003E-2</v>
      </c>
      <c r="J10" s="24">
        <f>'Reparto economico'!L6*$C$2/100</f>
        <v>480</v>
      </c>
      <c r="K10" s="59">
        <f t="shared" si="0"/>
        <v>480</v>
      </c>
      <c r="L10" s="101">
        <f t="shared" si="1"/>
        <v>139.19999999999999</v>
      </c>
      <c r="M10" s="24">
        <f t="shared" si="2"/>
        <v>211.2</v>
      </c>
      <c r="N10" s="101">
        <f t="shared" si="3"/>
        <v>129.60000000000002</v>
      </c>
      <c r="O10" s="60">
        <f t="shared" si="4"/>
        <v>88.733279999999993</v>
      </c>
      <c r="P10" s="60">
        <f t="shared" si="5"/>
        <v>0</v>
      </c>
      <c r="Q10" s="60">
        <f t="shared" si="6"/>
        <v>76.733279999999993</v>
      </c>
      <c r="R10" s="60">
        <f t="shared" si="8"/>
        <v>214.38954000000001</v>
      </c>
      <c r="S10" s="61">
        <f t="shared" si="7"/>
        <v>7.1463180000000001E-2</v>
      </c>
      <c r="T10" s="31"/>
    </row>
    <row r="11" spans="1:20">
      <c r="A11" s="90" t="s">
        <v>58</v>
      </c>
      <c r="B11" s="87">
        <v>152.38999999999999</v>
      </c>
      <c r="C11" s="87">
        <v>238.69</v>
      </c>
      <c r="D11" s="87">
        <v>141.68</v>
      </c>
      <c r="E11" s="87">
        <v>7.23</v>
      </c>
      <c r="F11" s="88">
        <v>0.1709</v>
      </c>
      <c r="G11" s="88">
        <v>0.16539999999999999</v>
      </c>
      <c r="H11" s="88">
        <v>0.17069999999999999</v>
      </c>
      <c r="I11" s="88">
        <v>6.8900000000000003E-2</v>
      </c>
      <c r="J11" s="24">
        <f>'Reparto economico'!L7*$C$2/100</f>
        <v>540</v>
      </c>
      <c r="K11" s="59">
        <f t="shared" si="0"/>
        <v>532.77</v>
      </c>
      <c r="L11" s="101">
        <f t="shared" si="1"/>
        <v>154.5033</v>
      </c>
      <c r="M11" s="24">
        <f t="shared" si="2"/>
        <v>234.4188</v>
      </c>
      <c r="N11" s="101">
        <f t="shared" si="3"/>
        <v>143.84790000000001</v>
      </c>
      <c r="O11" s="60">
        <f t="shared" si="4"/>
        <v>89.732320020000003</v>
      </c>
      <c r="P11" s="60">
        <f t="shared" si="5"/>
        <v>0.49814700000000006</v>
      </c>
      <c r="Q11" s="60">
        <f t="shared" si="6"/>
        <v>78.230467020000006</v>
      </c>
      <c r="R11" s="60">
        <f t="shared" si="8"/>
        <v>292.62000702</v>
      </c>
      <c r="S11" s="61">
        <f t="shared" si="7"/>
        <v>9.7540002340000001E-2</v>
      </c>
      <c r="T11" s="31"/>
    </row>
    <row r="12" spans="1:20">
      <c r="A12" s="90" t="s">
        <v>59</v>
      </c>
      <c r="B12" s="87">
        <v>170.73</v>
      </c>
      <c r="C12" s="87">
        <v>255.91</v>
      </c>
      <c r="D12" s="87">
        <v>165.91</v>
      </c>
      <c r="E12" s="87">
        <v>0</v>
      </c>
      <c r="F12" s="88">
        <v>0.1673</v>
      </c>
      <c r="G12" s="88">
        <v>0.19489999999999999</v>
      </c>
      <c r="H12" s="88">
        <v>0.17810000000000001</v>
      </c>
      <c r="I12" s="88">
        <v>7.5999999999999998E-2</v>
      </c>
      <c r="J12" s="24">
        <f>'Reparto economico'!L8*$C$2/100</f>
        <v>540</v>
      </c>
      <c r="K12" s="59">
        <f t="shared" si="0"/>
        <v>540</v>
      </c>
      <c r="L12" s="101">
        <f t="shared" si="1"/>
        <v>156.6</v>
      </c>
      <c r="M12" s="24">
        <f t="shared" si="2"/>
        <v>237.6</v>
      </c>
      <c r="N12" s="101">
        <f t="shared" si="3"/>
        <v>145.80000000000001</v>
      </c>
      <c r="O12" s="60">
        <f t="shared" si="4"/>
        <v>98.474400000000003</v>
      </c>
      <c r="P12" s="60">
        <f t="shared" si="5"/>
        <v>0</v>
      </c>
      <c r="Q12" s="60">
        <f t="shared" si="6"/>
        <v>86.474400000000003</v>
      </c>
      <c r="R12" s="60">
        <f t="shared" si="8"/>
        <v>379.09440702000001</v>
      </c>
      <c r="S12" s="61">
        <f t="shared" si="7"/>
        <v>0.12636480234</v>
      </c>
      <c r="T12" s="31"/>
    </row>
    <row r="13" spans="1:20">
      <c r="A13" s="90" t="s">
        <v>60</v>
      </c>
      <c r="B13" s="87">
        <v>199.2</v>
      </c>
      <c r="C13" s="87">
        <v>292.02999999999997</v>
      </c>
      <c r="D13" s="87">
        <v>139.38999999999999</v>
      </c>
      <c r="E13" s="87">
        <v>0</v>
      </c>
      <c r="F13" s="88">
        <v>0.18809999999999999</v>
      </c>
      <c r="G13" s="88">
        <v>0.1555</v>
      </c>
      <c r="H13" s="88">
        <v>0.18260000000000001</v>
      </c>
      <c r="I13" s="88">
        <v>4.6300000000000001E-2</v>
      </c>
      <c r="J13" s="24">
        <f>'Reparto economico'!L9*$C$2/100</f>
        <v>600</v>
      </c>
      <c r="K13" s="59">
        <f t="shared" si="0"/>
        <v>600</v>
      </c>
      <c r="L13" s="101">
        <f t="shared" si="1"/>
        <v>174</v>
      </c>
      <c r="M13" s="24">
        <f t="shared" si="2"/>
        <v>264</v>
      </c>
      <c r="N13" s="101">
        <f t="shared" si="3"/>
        <v>162</v>
      </c>
      <c r="O13" s="60">
        <f t="shared" si="4"/>
        <v>103.36259999999999</v>
      </c>
      <c r="P13" s="60">
        <f t="shared" si="5"/>
        <v>0</v>
      </c>
      <c r="Q13" s="60">
        <f t="shared" si="6"/>
        <v>91.362599999999986</v>
      </c>
      <c r="R13" s="60">
        <f t="shared" si="8"/>
        <v>470.45700701999999</v>
      </c>
      <c r="S13" s="61">
        <f t="shared" si="7"/>
        <v>0.15681900233999999</v>
      </c>
      <c r="T13" s="31"/>
    </row>
    <row r="14" spans="1:20">
      <c r="A14" s="90" t="s">
        <v>62</v>
      </c>
      <c r="B14" s="87">
        <v>203.96</v>
      </c>
      <c r="C14" s="87">
        <v>161.37</v>
      </c>
      <c r="D14" s="87">
        <v>159.22</v>
      </c>
      <c r="E14" s="87">
        <v>45.45</v>
      </c>
      <c r="F14" s="88">
        <v>0.15720000000000001</v>
      </c>
      <c r="G14" s="88">
        <v>0.15709999999999999</v>
      </c>
      <c r="H14" s="88">
        <v>0.15859999999999999</v>
      </c>
      <c r="I14" s="88">
        <v>6.13E-2</v>
      </c>
      <c r="J14" s="24">
        <f>'Reparto economico'!L10*$C$2/100</f>
        <v>570</v>
      </c>
      <c r="K14" s="59">
        <f t="shared" si="0"/>
        <v>524.54999999999995</v>
      </c>
      <c r="L14" s="101">
        <f t="shared" si="1"/>
        <v>152.11949999999999</v>
      </c>
      <c r="M14" s="24">
        <f t="shared" si="2"/>
        <v>230.80199999999999</v>
      </c>
      <c r="N14" s="101">
        <f t="shared" si="3"/>
        <v>141.6285</v>
      </c>
      <c r="O14" s="60">
        <f t="shared" si="4"/>
        <v>82.634459699999994</v>
      </c>
      <c r="P14" s="60">
        <f t="shared" si="5"/>
        <v>2.7860850000000004</v>
      </c>
      <c r="Q14" s="60">
        <f t="shared" si="6"/>
        <v>73.420544699999994</v>
      </c>
      <c r="R14" s="60">
        <f t="shared" si="8"/>
        <v>543.87755171999993</v>
      </c>
      <c r="S14" s="61">
        <f t="shared" si="7"/>
        <v>0.18129251723999998</v>
      </c>
      <c r="T14" s="31"/>
    </row>
    <row r="15" spans="1:20">
      <c r="A15" s="90" t="s">
        <v>63</v>
      </c>
      <c r="B15" s="87">
        <v>192.41</v>
      </c>
      <c r="C15" s="87">
        <v>318.64999999999998</v>
      </c>
      <c r="D15" s="87">
        <v>130.25</v>
      </c>
      <c r="E15" s="87">
        <v>0</v>
      </c>
      <c r="F15" s="88">
        <v>0.18459999999999999</v>
      </c>
      <c r="G15" s="88">
        <v>0.18240000000000001</v>
      </c>
      <c r="H15" s="88">
        <v>0.1686</v>
      </c>
      <c r="I15" s="88">
        <v>7.2099999999999997E-2</v>
      </c>
      <c r="J15" s="24">
        <f>'Reparto economico'!L11*$C$2/100</f>
        <v>480</v>
      </c>
      <c r="K15" s="59">
        <f t="shared" si="0"/>
        <v>480</v>
      </c>
      <c r="L15" s="101">
        <f t="shared" si="1"/>
        <v>139.19999999999999</v>
      </c>
      <c r="M15" s="24">
        <f t="shared" si="2"/>
        <v>211.2</v>
      </c>
      <c r="N15" s="101">
        <f t="shared" si="3"/>
        <v>129.60000000000002</v>
      </c>
      <c r="O15" s="60">
        <f t="shared" si="4"/>
        <v>86.069760000000002</v>
      </c>
      <c r="P15" s="60">
        <f t="shared" si="5"/>
        <v>0</v>
      </c>
      <c r="Q15" s="60">
        <f t="shared" si="6"/>
        <v>74.069760000000002</v>
      </c>
      <c r="R15" s="60">
        <f t="shared" si="8"/>
        <v>617.9473117199999</v>
      </c>
      <c r="S15" s="61">
        <f t="shared" si="7"/>
        <v>0.20598243723999995</v>
      </c>
      <c r="T15" s="31"/>
    </row>
    <row r="16" spans="1:20">
      <c r="A16" s="90" t="s">
        <v>64</v>
      </c>
      <c r="B16" s="87">
        <v>135.93</v>
      </c>
      <c r="C16" s="87">
        <v>194.78</v>
      </c>
      <c r="D16" s="87">
        <v>190.13</v>
      </c>
      <c r="E16" s="87">
        <v>0</v>
      </c>
      <c r="F16" s="88">
        <v>0.15620000000000001</v>
      </c>
      <c r="G16" s="88">
        <v>0.1661</v>
      </c>
      <c r="H16" s="88">
        <v>0.19400000000000001</v>
      </c>
      <c r="I16" s="88">
        <v>7.1800000000000003E-2</v>
      </c>
      <c r="J16" s="24">
        <f>'Reparto economico'!L12*$C$2/100</f>
        <v>390</v>
      </c>
      <c r="K16" s="59">
        <f t="shared" si="0"/>
        <v>390</v>
      </c>
      <c r="L16" s="101">
        <f t="shared" si="1"/>
        <v>113.1</v>
      </c>
      <c r="M16" s="24">
        <f t="shared" si="2"/>
        <v>171.6</v>
      </c>
      <c r="N16" s="101">
        <f t="shared" si="3"/>
        <v>105.30000000000001</v>
      </c>
      <c r="O16" s="60">
        <f t="shared" si="4"/>
        <v>66.597180000000009</v>
      </c>
      <c r="P16" s="60">
        <f t="shared" si="5"/>
        <v>0</v>
      </c>
      <c r="Q16" s="60">
        <f t="shared" si="6"/>
        <v>54.597180000000009</v>
      </c>
      <c r="R16" s="60">
        <f t="shared" si="8"/>
        <v>672.54449171999988</v>
      </c>
      <c r="S16" s="61">
        <f t="shared" si="7"/>
        <v>0.22418149723999997</v>
      </c>
      <c r="T16" s="31"/>
    </row>
    <row r="17" spans="1:20">
      <c r="A17" s="90" t="s">
        <v>65</v>
      </c>
      <c r="B17" s="87">
        <v>239.16</v>
      </c>
      <c r="C17" s="87">
        <v>207.81</v>
      </c>
      <c r="D17" s="87">
        <v>166.87</v>
      </c>
      <c r="E17" s="87">
        <v>0</v>
      </c>
      <c r="F17" s="88">
        <v>0.15659999999999999</v>
      </c>
      <c r="G17" s="88">
        <v>0.19800000000000001</v>
      </c>
      <c r="H17" s="88">
        <v>0.18290000000000001</v>
      </c>
      <c r="I17" s="88">
        <v>5.8400000000000001E-2</v>
      </c>
      <c r="J17" s="24">
        <f>'Reparto economico'!L13*$C$2/100</f>
        <v>270</v>
      </c>
      <c r="K17" s="59">
        <f t="shared" si="0"/>
        <v>270</v>
      </c>
      <c r="L17" s="101">
        <f t="shared" si="1"/>
        <v>78.3</v>
      </c>
      <c r="M17" s="24">
        <f t="shared" si="2"/>
        <v>118.8</v>
      </c>
      <c r="N17" s="101">
        <f t="shared" si="3"/>
        <v>72.900000000000006</v>
      </c>
      <c r="O17" s="60">
        <f t="shared" si="4"/>
        <v>49.11759</v>
      </c>
      <c r="P17" s="60">
        <f t="shared" si="5"/>
        <v>0</v>
      </c>
      <c r="Q17" s="60">
        <f t="shared" si="6"/>
        <v>37.11759</v>
      </c>
      <c r="R17" s="60">
        <f t="shared" si="8"/>
        <v>709.66208171999983</v>
      </c>
      <c r="S17" s="61">
        <f t="shared" si="7"/>
        <v>0.23655402723999994</v>
      </c>
      <c r="T17" s="31"/>
    </row>
    <row r="18" spans="1:20">
      <c r="A18" s="90" t="s">
        <v>66</v>
      </c>
      <c r="B18" s="87">
        <v>127.93</v>
      </c>
      <c r="C18" s="87">
        <v>160.96</v>
      </c>
      <c r="D18" s="87">
        <v>182.28</v>
      </c>
      <c r="E18" s="87">
        <v>0</v>
      </c>
      <c r="F18" s="88">
        <v>0.17549999999999999</v>
      </c>
      <c r="G18" s="88">
        <v>0.15770000000000001</v>
      </c>
      <c r="H18" s="88">
        <v>0.19220000000000001</v>
      </c>
      <c r="I18" s="88">
        <v>6.6600000000000006E-2</v>
      </c>
      <c r="J18" s="24">
        <f>'Reparto economico'!L14*$C$2/100</f>
        <v>210</v>
      </c>
      <c r="K18" s="59">
        <f t="shared" si="0"/>
        <v>210</v>
      </c>
      <c r="L18" s="101">
        <f t="shared" si="1"/>
        <v>60.9</v>
      </c>
      <c r="M18" s="24">
        <f t="shared" si="2"/>
        <v>92.4</v>
      </c>
      <c r="N18" s="101">
        <f t="shared" si="3"/>
        <v>56.7</v>
      </c>
      <c r="O18" s="60">
        <f t="shared" si="4"/>
        <v>36.157170000000001</v>
      </c>
      <c r="P18" s="60">
        <f t="shared" si="5"/>
        <v>0</v>
      </c>
      <c r="Q18" s="60">
        <f t="shared" si="6"/>
        <v>24.157170000000001</v>
      </c>
      <c r="R18" s="60">
        <f t="shared" si="8"/>
        <v>733.81925171999978</v>
      </c>
      <c r="S18" s="61">
        <f t="shared" si="7"/>
        <v>0.24460641723999993</v>
      </c>
      <c r="T18" s="31"/>
    </row>
    <row r="19" spans="1:20">
      <c r="A19" s="102" t="s">
        <v>8</v>
      </c>
      <c r="B19" s="103">
        <f t="shared" ref="B19:E19" si="9">SUM(B4:B18)</f>
        <v>2158.75</v>
      </c>
      <c r="C19" s="103">
        <f t="shared" si="9"/>
        <v>2818.38</v>
      </c>
      <c r="D19" s="103">
        <f t="shared" si="9"/>
        <v>2142.1799999999998</v>
      </c>
      <c r="E19" s="103">
        <f t="shared" si="9"/>
        <v>52.680000000000007</v>
      </c>
      <c r="F19" s="104" t="s">
        <v>107</v>
      </c>
      <c r="G19" s="104" t="s">
        <v>107</v>
      </c>
      <c r="H19" s="104" t="s">
        <v>107</v>
      </c>
      <c r="I19" s="104" t="s">
        <v>107</v>
      </c>
      <c r="J19" s="103">
        <f t="shared" ref="J19:R19" si="10">SUM(J4:J18)</f>
        <v>5040</v>
      </c>
      <c r="K19" s="103">
        <f t="shared" si="10"/>
        <v>4987.32</v>
      </c>
      <c r="L19" s="103">
        <f t="shared" si="10"/>
        <v>1446.3227999999999</v>
      </c>
      <c r="M19" s="103">
        <f t="shared" si="10"/>
        <v>2194.4207999999999</v>
      </c>
      <c r="N19" s="103">
        <f t="shared" si="10"/>
        <v>1346.5764000000004</v>
      </c>
      <c r="O19" s="103">
        <f t="shared" si="10"/>
        <v>874.53501971999981</v>
      </c>
      <c r="P19" s="103">
        <f t="shared" si="10"/>
        <v>3.2842320000000003</v>
      </c>
      <c r="Q19" s="103">
        <f t="shared" si="10"/>
        <v>733.81925171999978</v>
      </c>
      <c r="R19" s="103">
        <f t="shared" si="10"/>
        <v>4872.7241496599991</v>
      </c>
      <c r="S19" s="105">
        <f>S18</f>
        <v>0.24460641723999993</v>
      </c>
      <c r="T19" s="31"/>
    </row>
    <row r="20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mergeCells count="6">
    <mergeCell ref="K5:N5"/>
    <mergeCell ref="B4:I4"/>
    <mergeCell ref="B5:D5"/>
    <mergeCell ref="E5:E6"/>
    <mergeCell ref="F5:H5"/>
    <mergeCell ref="I5:I6"/>
  </mergeCells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23.28515625" customWidth="1"/>
    <col min="3" max="3" width="24.85546875" customWidth="1"/>
    <col min="4" max="4" width="17.5703125" customWidth="1"/>
    <col min="5" max="5" width="22.42578125" customWidth="1"/>
    <col min="6" max="6" width="22" customWidth="1"/>
    <col min="7" max="7" width="27.5703125" customWidth="1"/>
    <col min="8" max="8" width="18.7109375" customWidth="1"/>
    <col min="9" max="9" width="20.28515625" customWidth="1"/>
    <col min="10" max="10" width="14.7109375" customWidth="1"/>
    <col min="11" max="11" width="8.7109375" customWidth="1"/>
  </cols>
  <sheetData>
    <row r="1" spans="1:11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31"/>
      <c r="G1" s="31"/>
      <c r="H1" s="31"/>
      <c r="I1" s="31"/>
      <c r="J1" s="31"/>
      <c r="K1" s="31"/>
    </row>
    <row r="2" spans="1:11">
      <c r="A2" s="76">
        <f>Socios!A4</f>
        <v>3</v>
      </c>
      <c r="B2" s="76" t="str">
        <f>Socios!B4</f>
        <v>Aitor</v>
      </c>
      <c r="C2" s="76">
        <f>Socios!C4</f>
        <v>5</v>
      </c>
      <c r="D2" s="76">
        <f>Socios!D4</f>
        <v>1000</v>
      </c>
      <c r="E2" s="77">
        <f>Socios!E4</f>
        <v>4</v>
      </c>
      <c r="F2" s="31"/>
      <c r="G2" s="31"/>
      <c r="H2" s="31"/>
      <c r="I2" s="31"/>
      <c r="J2" s="31"/>
      <c r="K2" s="31"/>
    </row>
    <row r="3" spans="1:11">
      <c r="A3" s="78"/>
      <c r="B3" s="96"/>
      <c r="C3" s="96"/>
      <c r="D3" s="78"/>
      <c r="E3" s="78"/>
      <c r="F3" s="31"/>
      <c r="G3" s="31"/>
      <c r="H3" s="31"/>
      <c r="I3" s="31"/>
      <c r="J3" s="31"/>
      <c r="K3" s="31"/>
    </row>
    <row r="4" spans="1:11">
      <c r="A4" s="31"/>
      <c r="B4" s="198" t="s">
        <v>101</v>
      </c>
      <c r="C4" s="180"/>
      <c r="D4" s="180"/>
      <c r="E4" s="181"/>
      <c r="F4" s="31"/>
      <c r="G4" s="31"/>
      <c r="H4" s="31"/>
      <c r="I4" s="31"/>
      <c r="J4" s="31"/>
      <c r="K4" s="31"/>
    </row>
    <row r="5" spans="1:11">
      <c r="A5" s="73" t="s">
        <v>43</v>
      </c>
      <c r="B5" s="74" t="s">
        <v>102</v>
      </c>
      <c r="C5" s="74" t="s">
        <v>103</v>
      </c>
      <c r="D5" s="74" t="s">
        <v>104</v>
      </c>
      <c r="E5" s="74" t="s">
        <v>105</v>
      </c>
      <c r="F5" s="74" t="s">
        <v>77</v>
      </c>
      <c r="G5" s="74" t="s">
        <v>79</v>
      </c>
      <c r="H5" s="74" t="s">
        <v>80</v>
      </c>
      <c r="I5" s="74" t="s">
        <v>106</v>
      </c>
      <c r="J5" s="75" t="s">
        <v>82</v>
      </c>
      <c r="K5" s="31"/>
    </row>
    <row r="6" spans="1:11">
      <c r="A6" s="86" t="s">
        <v>53</v>
      </c>
      <c r="B6" s="87">
        <v>168.97</v>
      </c>
      <c r="C6" s="87">
        <v>0</v>
      </c>
      <c r="D6" s="88">
        <v>0.19289999999999999</v>
      </c>
      <c r="E6" s="88">
        <v>7.5700000000000003E-2</v>
      </c>
      <c r="F6" s="24">
        <f>'Reparto economico'!L3*$C$2/100</f>
        <v>80</v>
      </c>
      <c r="G6" s="59">
        <f t="shared" ref="G6:G17" si="0">F6-C6</f>
        <v>80</v>
      </c>
      <c r="H6" s="60">
        <f t="shared" ref="H6:H17" si="1">(G6*D6+C6*E6)-$E$2</f>
        <v>11.431999999999999</v>
      </c>
      <c r="I6" s="60">
        <f>H6</f>
        <v>11.431999999999999</v>
      </c>
      <c r="J6" s="89">
        <f t="shared" ref="J6:J17" si="2">I6/$D$2</f>
        <v>1.1431999999999999E-2</v>
      </c>
      <c r="K6" s="31"/>
    </row>
    <row r="7" spans="1:11">
      <c r="A7" s="86" t="s">
        <v>55</v>
      </c>
      <c r="B7" s="87">
        <v>156.69</v>
      </c>
      <c r="C7" s="87">
        <v>0</v>
      </c>
      <c r="D7" s="88">
        <v>0.158</v>
      </c>
      <c r="E7" s="88">
        <v>4.4400000000000002E-2</v>
      </c>
      <c r="F7" s="24">
        <f>'Reparto economico'!L4*$C$2/100</f>
        <v>100</v>
      </c>
      <c r="G7" s="59">
        <f t="shared" si="0"/>
        <v>100</v>
      </c>
      <c r="H7" s="60">
        <f t="shared" si="1"/>
        <v>11.8</v>
      </c>
      <c r="I7" s="60">
        <f t="shared" ref="I7:I17" si="3">H7+I6</f>
        <v>23.231999999999999</v>
      </c>
      <c r="J7" s="89">
        <f t="shared" si="2"/>
        <v>2.3231999999999999E-2</v>
      </c>
      <c r="K7" s="31"/>
    </row>
    <row r="8" spans="1:11">
      <c r="A8" s="86" t="s">
        <v>56</v>
      </c>
      <c r="B8" s="87">
        <v>186.76</v>
      </c>
      <c r="C8" s="87">
        <v>0</v>
      </c>
      <c r="D8" s="88">
        <v>0.17580000000000001</v>
      </c>
      <c r="E8" s="88">
        <v>7.8200000000000006E-2</v>
      </c>
      <c r="F8" s="24">
        <f>'Reparto economico'!L5*$C$2/100</f>
        <v>140</v>
      </c>
      <c r="G8" s="59">
        <f t="shared" si="0"/>
        <v>140</v>
      </c>
      <c r="H8" s="60">
        <f t="shared" si="1"/>
        <v>20.612000000000002</v>
      </c>
      <c r="I8" s="60">
        <f t="shared" si="3"/>
        <v>43.844000000000001</v>
      </c>
      <c r="J8" s="89">
        <f t="shared" si="2"/>
        <v>4.3844000000000001E-2</v>
      </c>
      <c r="K8" s="31"/>
    </row>
    <row r="9" spans="1:11">
      <c r="A9" s="86" t="s">
        <v>57</v>
      </c>
      <c r="B9" s="87">
        <v>164.11</v>
      </c>
      <c r="C9" s="87">
        <v>0</v>
      </c>
      <c r="D9" s="88">
        <v>0.15690000000000001</v>
      </c>
      <c r="E9" s="88">
        <v>7.51E-2</v>
      </c>
      <c r="F9" s="24">
        <f>'Reparto economico'!L6*$C$2/100</f>
        <v>160</v>
      </c>
      <c r="G9" s="59">
        <f t="shared" si="0"/>
        <v>160</v>
      </c>
      <c r="H9" s="60">
        <f t="shared" si="1"/>
        <v>21.104000000000003</v>
      </c>
      <c r="I9" s="60">
        <f t="shared" si="3"/>
        <v>64.948000000000008</v>
      </c>
      <c r="J9" s="89">
        <f t="shared" si="2"/>
        <v>6.4948000000000006E-2</v>
      </c>
      <c r="K9" s="31"/>
    </row>
    <row r="10" spans="1:11">
      <c r="A10" s="90" t="s">
        <v>58</v>
      </c>
      <c r="B10" s="87">
        <v>195.29</v>
      </c>
      <c r="C10" s="87">
        <v>0</v>
      </c>
      <c r="D10" s="88">
        <v>0.157</v>
      </c>
      <c r="E10" s="88">
        <v>6.1699999999999998E-2</v>
      </c>
      <c r="F10" s="24">
        <f>'Reparto economico'!L7*$C$2/100</f>
        <v>180</v>
      </c>
      <c r="G10" s="59">
        <f t="shared" si="0"/>
        <v>180</v>
      </c>
      <c r="H10" s="60">
        <f t="shared" si="1"/>
        <v>24.26</v>
      </c>
      <c r="I10" s="60">
        <f t="shared" si="3"/>
        <v>89.208000000000013</v>
      </c>
      <c r="J10" s="89">
        <f t="shared" si="2"/>
        <v>8.920800000000001E-2</v>
      </c>
      <c r="K10" s="31"/>
    </row>
    <row r="11" spans="1:11">
      <c r="A11" s="90" t="s">
        <v>59</v>
      </c>
      <c r="B11" s="87">
        <v>149.69999999999999</v>
      </c>
      <c r="C11" s="87">
        <v>40.299999999999997</v>
      </c>
      <c r="D11" s="88">
        <v>0.17630000000000001</v>
      </c>
      <c r="E11" s="88">
        <v>4.7500000000000001E-2</v>
      </c>
      <c r="F11" s="24">
        <f>'Reparto economico'!L8*$C$2/100</f>
        <v>180</v>
      </c>
      <c r="G11" s="59">
        <f t="shared" si="0"/>
        <v>139.69999999999999</v>
      </c>
      <c r="H11" s="60">
        <f t="shared" si="1"/>
        <v>22.54336</v>
      </c>
      <c r="I11" s="60">
        <f t="shared" si="3"/>
        <v>111.75136000000001</v>
      </c>
      <c r="J11" s="89">
        <f t="shared" si="2"/>
        <v>0.11175136000000001</v>
      </c>
      <c r="K11" s="31"/>
    </row>
    <row r="12" spans="1:11">
      <c r="A12" s="90" t="s">
        <v>60</v>
      </c>
      <c r="B12" s="87">
        <v>105.43</v>
      </c>
      <c r="C12" s="87">
        <v>94.57</v>
      </c>
      <c r="D12" s="88">
        <v>0.1948</v>
      </c>
      <c r="E12" s="88">
        <v>7.3200000000000001E-2</v>
      </c>
      <c r="F12" s="24">
        <f>'Reparto economico'!L9*$C$2/100</f>
        <v>200</v>
      </c>
      <c r="G12" s="59">
        <f t="shared" si="0"/>
        <v>105.43</v>
      </c>
      <c r="H12" s="60">
        <f t="shared" si="1"/>
        <v>23.460288000000002</v>
      </c>
      <c r="I12" s="60">
        <f t="shared" si="3"/>
        <v>135.211648</v>
      </c>
      <c r="J12" s="89">
        <f t="shared" si="2"/>
        <v>0.13521164799999999</v>
      </c>
      <c r="K12" s="31"/>
    </row>
    <row r="13" spans="1:11">
      <c r="A13" s="90" t="s">
        <v>62</v>
      </c>
      <c r="B13" s="87">
        <v>142.53</v>
      </c>
      <c r="C13" s="87">
        <v>47.47</v>
      </c>
      <c r="D13" s="88">
        <v>0.18010000000000001</v>
      </c>
      <c r="E13" s="88">
        <v>7.6899999999999996E-2</v>
      </c>
      <c r="F13" s="24">
        <f>'Reparto economico'!L10*$C$2/100</f>
        <v>190</v>
      </c>
      <c r="G13" s="59">
        <f t="shared" si="0"/>
        <v>142.53</v>
      </c>
      <c r="H13" s="60">
        <f t="shared" si="1"/>
        <v>25.320095999999999</v>
      </c>
      <c r="I13" s="60">
        <f t="shared" si="3"/>
        <v>160.531744</v>
      </c>
      <c r="J13" s="89">
        <f t="shared" si="2"/>
        <v>0.160531744</v>
      </c>
      <c r="K13" s="31"/>
    </row>
    <row r="14" spans="1:11">
      <c r="A14" s="90" t="s">
        <v>63</v>
      </c>
      <c r="B14" s="87">
        <v>187.77</v>
      </c>
      <c r="C14" s="87">
        <v>0</v>
      </c>
      <c r="D14" s="88">
        <v>0.1724</v>
      </c>
      <c r="E14" s="88">
        <v>7.2900000000000006E-2</v>
      </c>
      <c r="F14" s="24">
        <f>'Reparto economico'!L11*$C$2/100</f>
        <v>160</v>
      </c>
      <c r="G14" s="59">
        <f t="shared" si="0"/>
        <v>160</v>
      </c>
      <c r="H14" s="60">
        <f t="shared" si="1"/>
        <v>23.584</v>
      </c>
      <c r="I14" s="60">
        <f t="shared" si="3"/>
        <v>184.11574400000001</v>
      </c>
      <c r="J14" s="89">
        <f t="shared" si="2"/>
        <v>0.184115744</v>
      </c>
      <c r="K14" s="31"/>
    </row>
    <row r="15" spans="1:11">
      <c r="A15" s="90" t="s">
        <v>64</v>
      </c>
      <c r="B15" s="87">
        <v>197.69</v>
      </c>
      <c r="C15" s="87">
        <v>0</v>
      </c>
      <c r="D15" s="88">
        <v>0.19470000000000001</v>
      </c>
      <c r="E15" s="88">
        <v>5.0799999999999998E-2</v>
      </c>
      <c r="F15" s="24">
        <f>'Reparto economico'!L12*$C$2/100</f>
        <v>130</v>
      </c>
      <c r="G15" s="59">
        <f t="shared" si="0"/>
        <v>130</v>
      </c>
      <c r="H15" s="60">
        <f t="shared" si="1"/>
        <v>21.311</v>
      </c>
      <c r="I15" s="60">
        <f t="shared" si="3"/>
        <v>205.42674400000001</v>
      </c>
      <c r="J15" s="89">
        <f t="shared" si="2"/>
        <v>0.20542674400000002</v>
      </c>
      <c r="K15" s="31"/>
    </row>
    <row r="16" spans="1:11">
      <c r="A16" s="90" t="s">
        <v>65</v>
      </c>
      <c r="B16" s="87">
        <v>193.69</v>
      </c>
      <c r="C16" s="87">
        <v>0</v>
      </c>
      <c r="D16" s="88">
        <v>0.18010000000000001</v>
      </c>
      <c r="E16" s="88">
        <v>6.5299999999999997E-2</v>
      </c>
      <c r="F16" s="24">
        <f>'Reparto economico'!L13*$C$2/100</f>
        <v>90</v>
      </c>
      <c r="G16" s="59">
        <f t="shared" si="0"/>
        <v>90</v>
      </c>
      <c r="H16" s="60">
        <f t="shared" si="1"/>
        <v>12.209</v>
      </c>
      <c r="I16" s="60">
        <f t="shared" si="3"/>
        <v>217.63574400000002</v>
      </c>
      <c r="J16" s="89">
        <f t="shared" si="2"/>
        <v>0.21763574400000002</v>
      </c>
      <c r="K16" s="31"/>
    </row>
    <row r="17" spans="1:11">
      <c r="A17" s="90" t="s">
        <v>66</v>
      </c>
      <c r="B17" s="87">
        <v>132.19999999999999</v>
      </c>
      <c r="C17" s="87">
        <v>0</v>
      </c>
      <c r="D17" s="88">
        <v>0.16869999999999999</v>
      </c>
      <c r="E17" s="88">
        <v>5.8999999999999997E-2</v>
      </c>
      <c r="F17" s="24">
        <f>'Reparto economico'!L14*$C$2/100</f>
        <v>70</v>
      </c>
      <c r="G17" s="59">
        <f t="shared" si="0"/>
        <v>70</v>
      </c>
      <c r="H17" s="60">
        <f t="shared" si="1"/>
        <v>7.8089999999999993</v>
      </c>
      <c r="I17" s="60">
        <f t="shared" si="3"/>
        <v>225.44474400000001</v>
      </c>
      <c r="J17" s="89">
        <f t="shared" si="2"/>
        <v>0.225444744</v>
      </c>
      <c r="K17" s="31"/>
    </row>
    <row r="18" spans="1:11">
      <c r="A18" s="91" t="s">
        <v>8</v>
      </c>
      <c r="B18" s="66">
        <f t="shared" ref="B18:C18" si="4">SUM(B2:B17)</f>
        <v>1980.8300000000002</v>
      </c>
      <c r="C18" s="66">
        <f t="shared" si="4"/>
        <v>187.34</v>
      </c>
      <c r="D18" s="65" t="s">
        <v>107</v>
      </c>
      <c r="E18" s="65" t="s">
        <v>107</v>
      </c>
      <c r="F18" s="66">
        <f t="shared" ref="F18:I18" si="5">SUM(F2:F17)</f>
        <v>1680</v>
      </c>
      <c r="G18" s="66">
        <f t="shared" si="5"/>
        <v>1497.66</v>
      </c>
      <c r="H18" s="66">
        <f t="shared" si="5"/>
        <v>225.44474400000001</v>
      </c>
      <c r="I18" s="66">
        <f t="shared" si="5"/>
        <v>1472.7817279999999</v>
      </c>
      <c r="J18" s="92">
        <f>J17</f>
        <v>0.225444744</v>
      </c>
      <c r="K18" s="106"/>
    </row>
    <row r="19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">
    <mergeCell ref="B4:E4"/>
  </mergeCells>
  <pageMargins left="0.75" right="0.75" top="1" bottom="1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"/>
  <sheetViews>
    <sheetView showGridLines="0" workbookViewId="0"/>
  </sheetViews>
  <sheetFormatPr baseColWidth="10" defaultColWidth="14.42578125" defaultRowHeight="15" customHeight="1"/>
  <cols>
    <col min="1" max="1" width="8.140625" customWidth="1"/>
    <col min="2" max="2" width="8.5703125" customWidth="1"/>
    <col min="3" max="3" width="14.7109375" customWidth="1"/>
    <col min="4" max="4" width="17.7109375" customWidth="1"/>
    <col min="5" max="5" width="24.85546875" customWidth="1"/>
    <col min="6" max="6" width="7.85546875" customWidth="1"/>
    <col min="7" max="8" width="7.5703125" customWidth="1"/>
    <col min="9" max="9" width="22.42578125" customWidth="1"/>
    <col min="10" max="10" width="22" customWidth="1"/>
    <col min="11" max="11" width="9" customWidth="1"/>
    <col min="12" max="12" width="6.7109375" customWidth="1"/>
    <col min="13" max="13" width="6.28515625" customWidth="1"/>
    <col min="14" max="14" width="6.140625" customWidth="1"/>
    <col min="15" max="15" width="22.42578125" customWidth="1"/>
    <col min="16" max="16" width="23.140625" customWidth="1"/>
    <col min="17" max="17" width="18.7109375" customWidth="1"/>
    <col min="18" max="18" width="20.28515625" customWidth="1"/>
    <col min="19" max="19" width="14.7109375" customWidth="1"/>
    <col min="20" max="20" width="8.7109375" customWidth="1"/>
  </cols>
  <sheetData>
    <row r="1" spans="1:20">
      <c r="A1" s="93" t="s">
        <v>20</v>
      </c>
      <c r="B1" s="94" t="s">
        <v>21</v>
      </c>
      <c r="C1" s="94" t="s">
        <v>22</v>
      </c>
      <c r="D1" s="94" t="s">
        <v>100</v>
      </c>
      <c r="E1" s="95" t="s">
        <v>24</v>
      </c>
      <c r="F1" s="27"/>
      <c r="G1" s="27"/>
      <c r="H1" s="27"/>
      <c r="I1" s="27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>
      <c r="A2" s="76">
        <f>Socios!A5</f>
        <v>4</v>
      </c>
      <c r="B2" s="76" t="str">
        <f>Socios!B5</f>
        <v>Maria</v>
      </c>
      <c r="C2" s="76">
        <f>Socios!C5</f>
        <v>15</v>
      </c>
      <c r="D2" s="76">
        <f>Socios!D5</f>
        <v>3000</v>
      </c>
      <c r="E2" s="77">
        <f>Socios!E5</f>
        <v>12</v>
      </c>
      <c r="F2" s="27"/>
      <c r="G2" s="27"/>
      <c r="H2" s="27"/>
      <c r="I2" s="27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>
      <c r="A3" s="78"/>
      <c r="B3" s="31"/>
      <c r="C3" s="31"/>
      <c r="D3" s="78"/>
      <c r="E3" s="78"/>
      <c r="F3" s="27"/>
      <c r="G3" s="27"/>
      <c r="H3" s="27"/>
      <c r="I3" s="27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>
      <c r="A4" s="31"/>
      <c r="B4" s="198" t="s">
        <v>101</v>
      </c>
      <c r="C4" s="180"/>
      <c r="D4" s="180"/>
      <c r="E4" s="180"/>
      <c r="F4" s="180"/>
      <c r="G4" s="180"/>
      <c r="H4" s="180"/>
      <c r="I4" s="18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>
      <c r="A5" s="93" t="s">
        <v>43</v>
      </c>
      <c r="B5" s="199" t="s">
        <v>102</v>
      </c>
      <c r="C5" s="200"/>
      <c r="D5" s="200"/>
      <c r="E5" s="201" t="s">
        <v>103</v>
      </c>
      <c r="F5" s="199" t="s">
        <v>104</v>
      </c>
      <c r="G5" s="200"/>
      <c r="H5" s="200"/>
      <c r="I5" s="201" t="s">
        <v>105</v>
      </c>
      <c r="J5" s="94" t="s">
        <v>77</v>
      </c>
      <c r="K5" s="199" t="s">
        <v>79</v>
      </c>
      <c r="L5" s="200"/>
      <c r="M5" s="200"/>
      <c r="N5" s="203"/>
      <c r="O5" s="97" t="s">
        <v>108</v>
      </c>
      <c r="P5" s="94" t="s">
        <v>109</v>
      </c>
      <c r="Q5" s="94" t="s">
        <v>80</v>
      </c>
      <c r="R5" s="94" t="s">
        <v>106</v>
      </c>
      <c r="S5" s="95" t="s">
        <v>82</v>
      </c>
      <c r="T5" s="31"/>
    </row>
    <row r="6" spans="1:20">
      <c r="A6" s="5"/>
      <c r="B6" s="6" t="s">
        <v>110</v>
      </c>
      <c r="C6" s="6" t="s">
        <v>111</v>
      </c>
      <c r="D6" s="6" t="s">
        <v>112</v>
      </c>
      <c r="E6" s="202"/>
      <c r="F6" s="6" t="s">
        <v>110</v>
      </c>
      <c r="G6" s="6" t="s">
        <v>111</v>
      </c>
      <c r="H6" s="6" t="s">
        <v>112</v>
      </c>
      <c r="I6" s="202"/>
      <c r="J6" s="6" t="s">
        <v>113</v>
      </c>
      <c r="K6" s="6" t="s">
        <v>113</v>
      </c>
      <c r="L6" s="6" t="s">
        <v>110</v>
      </c>
      <c r="M6" s="6" t="s">
        <v>111</v>
      </c>
      <c r="N6" s="6" t="s">
        <v>112</v>
      </c>
      <c r="O6" s="98"/>
      <c r="P6" s="6"/>
      <c r="Q6" s="6"/>
      <c r="R6" s="6"/>
      <c r="S6" s="7"/>
      <c r="T6" s="31"/>
    </row>
    <row r="7" spans="1:20">
      <c r="A7" s="86" t="s">
        <v>53</v>
      </c>
      <c r="B7" s="87">
        <v>176.85</v>
      </c>
      <c r="C7" s="87">
        <v>257.37</v>
      </c>
      <c r="D7" s="87">
        <v>205.62</v>
      </c>
      <c r="E7" s="87">
        <v>0</v>
      </c>
      <c r="F7" s="88">
        <v>0.19819999999999999</v>
      </c>
      <c r="G7" s="88">
        <v>0.1666</v>
      </c>
      <c r="H7" s="88">
        <v>0.17169999999999999</v>
      </c>
      <c r="I7" s="26">
        <v>7.3099999999999998E-2</v>
      </c>
      <c r="J7" s="24">
        <f>'Reparto economico'!L3*$C$2/100</f>
        <v>240</v>
      </c>
      <c r="K7" s="59">
        <f t="shared" ref="K7:K18" si="0">J7-E7</f>
        <v>240</v>
      </c>
      <c r="L7" s="101">
        <f t="shared" ref="L7:L18" si="1">K7*0.29</f>
        <v>69.599999999999994</v>
      </c>
      <c r="M7" s="24">
        <f t="shared" ref="M7:M18" si="2">K7*0.44</f>
        <v>105.6</v>
      </c>
      <c r="N7" s="101">
        <f t="shared" ref="N7:N18" si="3">K7*0.27</f>
        <v>64.800000000000011</v>
      </c>
      <c r="O7" s="60">
        <f t="shared" ref="O7:O18" si="4">L7*F7+M7*G7+N7*H7</f>
        <v>42.513840000000002</v>
      </c>
      <c r="P7" s="60">
        <f t="shared" ref="P7:P18" si="5">E7*I7</f>
        <v>0</v>
      </c>
      <c r="Q7" s="60">
        <f t="shared" ref="Q7:Q18" si="6">O7+P7-$E$2</f>
        <v>30.513840000000002</v>
      </c>
      <c r="R7" s="60">
        <f>Q7</f>
        <v>30.513840000000002</v>
      </c>
      <c r="S7" s="61">
        <f t="shared" ref="S7:S18" si="7">R7/$D$2</f>
        <v>1.0171280000000001E-2</v>
      </c>
      <c r="T7" s="31"/>
    </row>
    <row r="8" spans="1:20">
      <c r="A8" s="86" t="s">
        <v>55</v>
      </c>
      <c r="B8" s="87">
        <v>124.55</v>
      </c>
      <c r="C8" s="87">
        <v>310.58999999999997</v>
      </c>
      <c r="D8" s="87">
        <v>183.47</v>
      </c>
      <c r="E8" s="87">
        <v>0</v>
      </c>
      <c r="F8" s="88">
        <v>0.1782</v>
      </c>
      <c r="G8" s="88">
        <v>0.17510000000000001</v>
      </c>
      <c r="H8" s="88">
        <v>0.17810000000000001</v>
      </c>
      <c r="I8" s="26">
        <v>4.5400000000000003E-2</v>
      </c>
      <c r="J8" s="24">
        <f>'Reparto economico'!L4*$C$2/100</f>
        <v>300</v>
      </c>
      <c r="K8" s="59">
        <f t="shared" si="0"/>
        <v>300</v>
      </c>
      <c r="L8" s="101">
        <f t="shared" si="1"/>
        <v>87</v>
      </c>
      <c r="M8" s="24">
        <f t="shared" si="2"/>
        <v>132</v>
      </c>
      <c r="N8" s="101">
        <f t="shared" si="3"/>
        <v>81</v>
      </c>
      <c r="O8" s="60">
        <f t="shared" si="4"/>
        <v>53.042699999999996</v>
      </c>
      <c r="P8" s="60">
        <f t="shared" si="5"/>
        <v>0</v>
      </c>
      <c r="Q8" s="60">
        <f t="shared" si="6"/>
        <v>41.042699999999996</v>
      </c>
      <c r="R8" s="60">
        <f t="shared" ref="R8:R18" si="8">Q8+R7</f>
        <v>71.556539999999998</v>
      </c>
      <c r="S8" s="61">
        <f t="shared" si="7"/>
        <v>2.3852180000000001E-2</v>
      </c>
      <c r="T8" s="31"/>
    </row>
    <row r="9" spans="1:20">
      <c r="A9" s="86" t="s">
        <v>56</v>
      </c>
      <c r="B9" s="87">
        <v>219.92</v>
      </c>
      <c r="C9" s="87">
        <v>215.43</v>
      </c>
      <c r="D9" s="87">
        <v>226.61</v>
      </c>
      <c r="E9" s="87">
        <v>0</v>
      </c>
      <c r="F9" s="88">
        <v>0.1661</v>
      </c>
      <c r="G9" s="88">
        <v>0.19159999999999999</v>
      </c>
      <c r="H9" s="88">
        <v>0.15939999999999999</v>
      </c>
      <c r="I9" s="26">
        <v>6.4799999999999996E-2</v>
      </c>
      <c r="J9" s="24">
        <f>'Reparto economico'!L5*$C$2/100</f>
        <v>420</v>
      </c>
      <c r="K9" s="59">
        <f t="shared" si="0"/>
        <v>420</v>
      </c>
      <c r="L9" s="101">
        <f t="shared" si="1"/>
        <v>121.8</v>
      </c>
      <c r="M9" s="24">
        <f t="shared" si="2"/>
        <v>184.8</v>
      </c>
      <c r="N9" s="101">
        <f t="shared" si="3"/>
        <v>113.4</v>
      </c>
      <c r="O9" s="60">
        <f t="shared" si="4"/>
        <v>73.714619999999996</v>
      </c>
      <c r="P9" s="60">
        <f t="shared" si="5"/>
        <v>0</v>
      </c>
      <c r="Q9" s="60">
        <f t="shared" si="6"/>
        <v>61.714619999999996</v>
      </c>
      <c r="R9" s="60">
        <f t="shared" si="8"/>
        <v>133.27116000000001</v>
      </c>
      <c r="S9" s="61">
        <f t="shared" si="7"/>
        <v>4.442372E-2</v>
      </c>
      <c r="T9" s="31"/>
    </row>
    <row r="10" spans="1:20">
      <c r="A10" s="86" t="s">
        <v>57</v>
      </c>
      <c r="B10" s="87">
        <v>194.98</v>
      </c>
      <c r="C10" s="87">
        <v>211.37</v>
      </c>
      <c r="D10" s="87">
        <v>123.67</v>
      </c>
      <c r="E10" s="87">
        <v>0</v>
      </c>
      <c r="F10" s="88">
        <v>0.16420000000000001</v>
      </c>
      <c r="G10" s="88">
        <v>0.19420000000000001</v>
      </c>
      <c r="H10" s="88">
        <v>0.18779999999999999</v>
      </c>
      <c r="I10" s="26">
        <v>4.2599999999999999E-2</v>
      </c>
      <c r="J10" s="24">
        <f>'Reparto economico'!L6*$C$2/100</f>
        <v>480</v>
      </c>
      <c r="K10" s="59">
        <f t="shared" si="0"/>
        <v>480</v>
      </c>
      <c r="L10" s="101">
        <f t="shared" si="1"/>
        <v>139.19999999999999</v>
      </c>
      <c r="M10" s="24">
        <f t="shared" si="2"/>
        <v>211.2</v>
      </c>
      <c r="N10" s="101">
        <f t="shared" si="3"/>
        <v>129.60000000000002</v>
      </c>
      <c r="O10" s="60">
        <f t="shared" si="4"/>
        <v>88.210560000000001</v>
      </c>
      <c r="P10" s="60">
        <f t="shared" si="5"/>
        <v>0</v>
      </c>
      <c r="Q10" s="60">
        <f t="shared" si="6"/>
        <v>76.210560000000001</v>
      </c>
      <c r="R10" s="60">
        <f t="shared" si="8"/>
        <v>209.48172</v>
      </c>
      <c r="S10" s="61">
        <f t="shared" si="7"/>
        <v>6.9827239999999999E-2</v>
      </c>
      <c r="T10" s="31"/>
    </row>
    <row r="11" spans="1:20">
      <c r="A11" s="90" t="s">
        <v>58</v>
      </c>
      <c r="B11" s="87">
        <v>162.35</v>
      </c>
      <c r="C11" s="87">
        <v>282.02999999999997</v>
      </c>
      <c r="D11" s="87">
        <v>182.42</v>
      </c>
      <c r="E11" s="87">
        <v>0</v>
      </c>
      <c r="F11" s="88">
        <v>0.19500000000000001</v>
      </c>
      <c r="G11" s="88">
        <v>0.1857</v>
      </c>
      <c r="H11" s="88">
        <v>0.17630000000000001</v>
      </c>
      <c r="I11" s="26">
        <v>5.8099999999999999E-2</v>
      </c>
      <c r="J11" s="24">
        <f>'Reparto economico'!L7*$C$2/100</f>
        <v>540</v>
      </c>
      <c r="K11" s="59">
        <f t="shared" si="0"/>
        <v>540</v>
      </c>
      <c r="L11" s="101">
        <f t="shared" si="1"/>
        <v>156.6</v>
      </c>
      <c r="M11" s="24">
        <f t="shared" si="2"/>
        <v>237.6</v>
      </c>
      <c r="N11" s="101">
        <f t="shared" si="3"/>
        <v>145.80000000000001</v>
      </c>
      <c r="O11" s="60">
        <f t="shared" si="4"/>
        <v>100.36386000000002</v>
      </c>
      <c r="P11" s="60">
        <f t="shared" si="5"/>
        <v>0</v>
      </c>
      <c r="Q11" s="60">
        <f t="shared" si="6"/>
        <v>88.363860000000017</v>
      </c>
      <c r="R11" s="60">
        <f t="shared" si="8"/>
        <v>297.84558000000004</v>
      </c>
      <c r="S11" s="61">
        <f t="shared" si="7"/>
        <v>9.9281860000000013E-2</v>
      </c>
      <c r="T11" s="31"/>
    </row>
    <row r="12" spans="1:20">
      <c r="A12" s="90" t="s">
        <v>59</v>
      </c>
      <c r="B12" s="87">
        <v>162.04</v>
      </c>
      <c r="C12" s="87">
        <v>229.88</v>
      </c>
      <c r="D12" s="87">
        <v>147.80000000000001</v>
      </c>
      <c r="E12" s="87">
        <v>30.28</v>
      </c>
      <c r="F12" s="88">
        <v>0.1552</v>
      </c>
      <c r="G12" s="88">
        <v>0.16839999999999999</v>
      </c>
      <c r="H12" s="88">
        <v>0.1585</v>
      </c>
      <c r="I12" s="26">
        <v>4.4999999999999998E-2</v>
      </c>
      <c r="J12" s="24">
        <f>'Reparto economico'!L8*$C$2/100</f>
        <v>540</v>
      </c>
      <c r="K12" s="59">
        <f t="shared" si="0"/>
        <v>509.72</v>
      </c>
      <c r="L12" s="101">
        <f t="shared" si="1"/>
        <v>147.81880000000001</v>
      </c>
      <c r="M12" s="24">
        <f t="shared" si="2"/>
        <v>224.27680000000001</v>
      </c>
      <c r="N12" s="101">
        <f t="shared" si="3"/>
        <v>137.62440000000001</v>
      </c>
      <c r="O12" s="60">
        <f t="shared" si="4"/>
        <v>82.52315827999999</v>
      </c>
      <c r="P12" s="60">
        <f t="shared" si="5"/>
        <v>1.3626</v>
      </c>
      <c r="Q12" s="60">
        <f t="shared" si="6"/>
        <v>71.88575827999999</v>
      </c>
      <c r="R12" s="60">
        <f t="shared" si="8"/>
        <v>369.73133828000005</v>
      </c>
      <c r="S12" s="61">
        <f t="shared" si="7"/>
        <v>0.12324377942666669</v>
      </c>
      <c r="T12" s="31"/>
    </row>
    <row r="13" spans="1:20">
      <c r="A13" s="90" t="s">
        <v>60</v>
      </c>
      <c r="B13" s="87">
        <v>179.91</v>
      </c>
      <c r="C13" s="87">
        <v>286.41000000000003</v>
      </c>
      <c r="D13" s="87">
        <v>183.44</v>
      </c>
      <c r="E13" s="87">
        <v>0</v>
      </c>
      <c r="F13" s="88">
        <v>0.15210000000000001</v>
      </c>
      <c r="G13" s="88">
        <v>0.19889999999999999</v>
      </c>
      <c r="H13" s="88">
        <v>0.16869999999999999</v>
      </c>
      <c r="I13" s="26">
        <v>5.0700000000000002E-2</v>
      </c>
      <c r="J13" s="24">
        <f>'Reparto economico'!L9*$C$2/100</f>
        <v>600</v>
      </c>
      <c r="K13" s="59">
        <f t="shared" si="0"/>
        <v>600</v>
      </c>
      <c r="L13" s="101">
        <f t="shared" si="1"/>
        <v>174</v>
      </c>
      <c r="M13" s="24">
        <f t="shared" si="2"/>
        <v>264</v>
      </c>
      <c r="N13" s="101">
        <f t="shared" si="3"/>
        <v>162</v>
      </c>
      <c r="O13" s="60">
        <f t="shared" si="4"/>
        <v>106.30439999999999</v>
      </c>
      <c r="P13" s="60">
        <f t="shared" si="5"/>
        <v>0</v>
      </c>
      <c r="Q13" s="60">
        <f t="shared" si="6"/>
        <v>94.304399999999987</v>
      </c>
      <c r="R13" s="60">
        <f t="shared" si="8"/>
        <v>464.03573828000003</v>
      </c>
      <c r="S13" s="61">
        <f t="shared" si="7"/>
        <v>0.15467857942666668</v>
      </c>
      <c r="T13" s="31"/>
    </row>
    <row r="14" spans="1:20">
      <c r="A14" s="90" t="s">
        <v>62</v>
      </c>
      <c r="B14" s="87">
        <v>123.92</v>
      </c>
      <c r="C14" s="87">
        <v>184.43</v>
      </c>
      <c r="D14" s="87">
        <v>176.37</v>
      </c>
      <c r="E14" s="87">
        <v>85.28</v>
      </c>
      <c r="F14" s="88">
        <v>0.18890000000000001</v>
      </c>
      <c r="G14" s="88">
        <v>0.151</v>
      </c>
      <c r="H14" s="88">
        <v>0.15479999999999999</v>
      </c>
      <c r="I14" s="26">
        <v>7.3700000000000002E-2</v>
      </c>
      <c r="J14" s="24">
        <f>'Reparto economico'!L10*$C$2/100</f>
        <v>570</v>
      </c>
      <c r="K14" s="59">
        <f t="shared" si="0"/>
        <v>484.72</v>
      </c>
      <c r="L14" s="101">
        <f t="shared" si="1"/>
        <v>140.56880000000001</v>
      </c>
      <c r="M14" s="24">
        <f t="shared" si="2"/>
        <v>213.27680000000001</v>
      </c>
      <c r="N14" s="101">
        <f t="shared" si="3"/>
        <v>130.87440000000001</v>
      </c>
      <c r="O14" s="60">
        <f t="shared" si="4"/>
        <v>79.017600240000007</v>
      </c>
      <c r="P14" s="60">
        <f t="shared" si="5"/>
        <v>6.2851360000000005</v>
      </c>
      <c r="Q14" s="60">
        <f t="shared" si="6"/>
        <v>73.302736240000002</v>
      </c>
      <c r="R14" s="60">
        <f t="shared" si="8"/>
        <v>537.33847452000009</v>
      </c>
      <c r="S14" s="61">
        <f t="shared" si="7"/>
        <v>0.17911282484000002</v>
      </c>
      <c r="T14" s="31"/>
    </row>
    <row r="15" spans="1:20">
      <c r="A15" s="90" t="s">
        <v>63</v>
      </c>
      <c r="B15" s="87">
        <v>171.47</v>
      </c>
      <c r="C15" s="87">
        <v>221.38</v>
      </c>
      <c r="D15" s="87">
        <v>144.4</v>
      </c>
      <c r="E15" s="87">
        <v>0</v>
      </c>
      <c r="F15" s="88">
        <v>0.1837</v>
      </c>
      <c r="G15" s="88">
        <v>0.1699</v>
      </c>
      <c r="H15" s="88">
        <v>0.18729999999999999</v>
      </c>
      <c r="I15" s="26">
        <v>6.0900000000000003E-2</v>
      </c>
      <c r="J15" s="24">
        <f>'Reparto economico'!L11*$C$2/100</f>
        <v>480</v>
      </c>
      <c r="K15" s="59">
        <f t="shared" si="0"/>
        <v>480</v>
      </c>
      <c r="L15" s="101">
        <f t="shared" si="1"/>
        <v>139.19999999999999</v>
      </c>
      <c r="M15" s="24">
        <f t="shared" si="2"/>
        <v>211.2</v>
      </c>
      <c r="N15" s="101">
        <f t="shared" si="3"/>
        <v>129.60000000000002</v>
      </c>
      <c r="O15" s="60">
        <f t="shared" si="4"/>
        <v>85.728000000000009</v>
      </c>
      <c r="P15" s="60">
        <f t="shared" si="5"/>
        <v>0</v>
      </c>
      <c r="Q15" s="60">
        <f t="shared" si="6"/>
        <v>73.728000000000009</v>
      </c>
      <c r="R15" s="60">
        <f t="shared" si="8"/>
        <v>611.06647452000016</v>
      </c>
      <c r="S15" s="61">
        <f t="shared" si="7"/>
        <v>0.20368882484000006</v>
      </c>
      <c r="T15" s="31"/>
    </row>
    <row r="16" spans="1:20">
      <c r="A16" s="90" t="s">
        <v>64</v>
      </c>
      <c r="B16" s="87">
        <v>194.99</v>
      </c>
      <c r="C16" s="87">
        <v>200.47</v>
      </c>
      <c r="D16" s="87">
        <v>121.88</v>
      </c>
      <c r="E16" s="87">
        <v>0</v>
      </c>
      <c r="F16" s="88">
        <v>0.15690000000000001</v>
      </c>
      <c r="G16" s="88">
        <v>0.1547</v>
      </c>
      <c r="H16" s="88">
        <v>0.19939999999999999</v>
      </c>
      <c r="I16" s="26">
        <v>5.2400000000000002E-2</v>
      </c>
      <c r="J16" s="24">
        <f>'Reparto economico'!L12*$C$2/100</f>
        <v>390</v>
      </c>
      <c r="K16" s="59">
        <f t="shared" si="0"/>
        <v>390</v>
      </c>
      <c r="L16" s="101">
        <f t="shared" si="1"/>
        <v>113.1</v>
      </c>
      <c r="M16" s="24">
        <f t="shared" si="2"/>
        <v>171.6</v>
      </c>
      <c r="N16" s="101">
        <f t="shared" si="3"/>
        <v>105.30000000000001</v>
      </c>
      <c r="O16" s="60">
        <f t="shared" si="4"/>
        <v>65.288730000000001</v>
      </c>
      <c r="P16" s="60">
        <f t="shared" si="5"/>
        <v>0</v>
      </c>
      <c r="Q16" s="60">
        <f t="shared" si="6"/>
        <v>53.288730000000001</v>
      </c>
      <c r="R16" s="60">
        <f t="shared" si="8"/>
        <v>664.35520452000014</v>
      </c>
      <c r="S16" s="61">
        <f t="shared" si="7"/>
        <v>0.22145173484000005</v>
      </c>
      <c r="T16" s="31"/>
    </row>
    <row r="17" spans="1:20">
      <c r="A17" s="90" t="s">
        <v>65</v>
      </c>
      <c r="B17" s="87">
        <v>167.2</v>
      </c>
      <c r="C17" s="87">
        <v>275.36</v>
      </c>
      <c r="D17" s="87">
        <v>202.39</v>
      </c>
      <c r="E17" s="87">
        <v>0</v>
      </c>
      <c r="F17" s="88">
        <v>0.1951</v>
      </c>
      <c r="G17" s="88">
        <v>0.15590000000000001</v>
      </c>
      <c r="H17" s="88">
        <v>0.1555</v>
      </c>
      <c r="I17" s="26">
        <v>6.4899999999999999E-2</v>
      </c>
      <c r="J17" s="24">
        <f>'Reparto economico'!L13*$C$2/100</f>
        <v>270</v>
      </c>
      <c r="K17" s="59">
        <f t="shared" si="0"/>
        <v>270</v>
      </c>
      <c r="L17" s="101">
        <f t="shared" si="1"/>
        <v>78.3</v>
      </c>
      <c r="M17" s="24">
        <f t="shared" si="2"/>
        <v>118.8</v>
      </c>
      <c r="N17" s="101">
        <f t="shared" si="3"/>
        <v>72.900000000000006</v>
      </c>
      <c r="O17" s="60">
        <f t="shared" si="4"/>
        <v>45.133200000000002</v>
      </c>
      <c r="P17" s="60">
        <f t="shared" si="5"/>
        <v>0</v>
      </c>
      <c r="Q17" s="60">
        <f t="shared" si="6"/>
        <v>33.133200000000002</v>
      </c>
      <c r="R17" s="60">
        <f t="shared" si="8"/>
        <v>697.48840452000013</v>
      </c>
      <c r="S17" s="61">
        <f t="shared" si="7"/>
        <v>0.23249613484000003</v>
      </c>
      <c r="T17" s="31"/>
    </row>
    <row r="18" spans="1:20">
      <c r="A18" s="90" t="s">
        <v>66</v>
      </c>
      <c r="B18" s="87">
        <v>205.88</v>
      </c>
      <c r="C18" s="87">
        <v>262.87</v>
      </c>
      <c r="D18" s="87">
        <v>208.69</v>
      </c>
      <c r="E18" s="87">
        <v>0</v>
      </c>
      <c r="F18" s="88">
        <v>0.17230000000000001</v>
      </c>
      <c r="G18" s="88">
        <v>0.1875</v>
      </c>
      <c r="H18" s="88">
        <v>0.16489999999999999</v>
      </c>
      <c r="I18" s="26">
        <v>7.8299999999999995E-2</v>
      </c>
      <c r="J18" s="24">
        <f>'Reparto economico'!L14*$C$2/100</f>
        <v>210</v>
      </c>
      <c r="K18" s="59">
        <f t="shared" si="0"/>
        <v>210</v>
      </c>
      <c r="L18" s="101">
        <f t="shared" si="1"/>
        <v>60.9</v>
      </c>
      <c r="M18" s="24">
        <f t="shared" si="2"/>
        <v>92.4</v>
      </c>
      <c r="N18" s="101">
        <f t="shared" si="3"/>
        <v>56.7</v>
      </c>
      <c r="O18" s="60">
        <f t="shared" si="4"/>
        <v>37.167900000000003</v>
      </c>
      <c r="P18" s="60">
        <f t="shared" si="5"/>
        <v>0</v>
      </c>
      <c r="Q18" s="60">
        <f t="shared" si="6"/>
        <v>25.167900000000003</v>
      </c>
      <c r="R18" s="60">
        <f t="shared" si="8"/>
        <v>722.65630452000016</v>
      </c>
      <c r="S18" s="61">
        <f t="shared" si="7"/>
        <v>0.24088543484000005</v>
      </c>
      <c r="T18" s="31"/>
    </row>
    <row r="19" spans="1:20">
      <c r="A19" s="91" t="s">
        <v>8</v>
      </c>
      <c r="B19" s="66">
        <f t="shared" ref="B19:E19" si="9">SUM(B4:B18)</f>
        <v>2084.0600000000004</v>
      </c>
      <c r="C19" s="66">
        <f t="shared" si="9"/>
        <v>2937.59</v>
      </c>
      <c r="D19" s="66">
        <f t="shared" si="9"/>
        <v>2106.7600000000002</v>
      </c>
      <c r="E19" s="66">
        <f t="shared" si="9"/>
        <v>115.56</v>
      </c>
      <c r="F19" s="67" t="s">
        <v>107</v>
      </c>
      <c r="G19" s="67" t="s">
        <v>107</v>
      </c>
      <c r="H19" s="67" t="s">
        <v>107</v>
      </c>
      <c r="I19" s="67" t="s">
        <v>107</v>
      </c>
      <c r="J19" s="66">
        <f t="shared" ref="J19:R19" si="10">SUM(J4:J18)</f>
        <v>5040</v>
      </c>
      <c r="K19" s="66">
        <f t="shared" si="10"/>
        <v>4924.4400000000005</v>
      </c>
      <c r="L19" s="66">
        <f t="shared" si="10"/>
        <v>1428.0875999999998</v>
      </c>
      <c r="M19" s="66">
        <f t="shared" si="10"/>
        <v>2166.7536</v>
      </c>
      <c r="N19" s="66">
        <f t="shared" si="10"/>
        <v>1329.5988000000002</v>
      </c>
      <c r="O19" s="66">
        <f t="shared" si="10"/>
        <v>859.00856852000004</v>
      </c>
      <c r="P19" s="66">
        <f t="shared" si="10"/>
        <v>7.6477360000000001</v>
      </c>
      <c r="Q19" s="66">
        <f t="shared" si="10"/>
        <v>722.65630452000016</v>
      </c>
      <c r="R19" s="66">
        <f t="shared" si="10"/>
        <v>4809.3407791600011</v>
      </c>
      <c r="S19" s="68">
        <f>S18</f>
        <v>0.24088543484000005</v>
      </c>
      <c r="T19" s="31"/>
    </row>
    <row r="20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</sheetData>
  <mergeCells count="6">
    <mergeCell ref="K5:N5"/>
    <mergeCell ref="B4:I4"/>
    <mergeCell ref="B5:D5"/>
    <mergeCell ref="E5:E6"/>
    <mergeCell ref="F5:H5"/>
    <mergeCell ref="I5:I6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Datos generales</vt:lpstr>
      <vt:lpstr>Socios</vt:lpstr>
      <vt:lpstr>Reparto economico</vt:lpstr>
      <vt:lpstr>Informe comunidad</vt:lpstr>
      <vt:lpstr>Media socios</vt:lpstr>
      <vt:lpstr>Socio 1</vt:lpstr>
      <vt:lpstr>Socio 2</vt:lpstr>
      <vt:lpstr>Socio 3</vt:lpstr>
      <vt:lpstr>Socio 4</vt:lpstr>
      <vt:lpstr>Socio 5</vt:lpstr>
      <vt:lpstr>Socio 6</vt:lpstr>
      <vt:lpstr>Socio 7</vt:lpstr>
      <vt:lpstr>Socio 8</vt:lpstr>
      <vt:lpstr>Socio 9</vt:lpstr>
      <vt:lpstr>Socio 10</vt:lpstr>
      <vt:lpstr>Plantilla Socio (fijo)</vt:lpstr>
      <vt:lpstr>Plantilla Socio (3 periodos)</vt:lpstr>
      <vt:lpstr>Plantilla Socio (fijo) (MAS DAT</vt:lpstr>
      <vt:lpstr>Plantilla Socio (3 periodos) (M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Javier Rubén Castrosín Prada</cp:lastModifiedBy>
  <dcterms:created xsi:type="dcterms:W3CDTF">2025-04-23T11:32:36Z</dcterms:created>
  <dcterms:modified xsi:type="dcterms:W3CDTF">2025-08-29T08:34:33Z</dcterms:modified>
</cp:coreProperties>
</file>